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AM\Workbook\Online\"/>
    </mc:Choice>
  </mc:AlternateContent>
  <bookViews>
    <workbookView xWindow="0" yWindow="0" windowWidth="19200" windowHeight="6735" activeTab="1"/>
  </bookViews>
  <sheets>
    <sheet name="Sec 30.3" sheetId="1" r:id="rId1"/>
    <sheet name="Sec 30.5" sheetId="3" r:id="rId2"/>
    <sheet name="Chp 31" sheetId="7" r:id="rId3"/>
  </sheets>
  <calcPr calcId="152511"/>
</workbook>
</file>

<file path=xl/calcChain.xml><?xml version="1.0" encoding="utf-8"?>
<calcChain xmlns="http://schemas.openxmlformats.org/spreadsheetml/2006/main">
  <c r="E30" i="3" l="1"/>
  <c r="B39" i="3"/>
  <c r="C30" i="3" s="1"/>
  <c r="B38" i="3"/>
  <c r="B31" i="3" s="1"/>
  <c r="I35" i="3" s="1"/>
  <c r="I36" i="3"/>
  <c r="I33" i="3"/>
  <c r="I32" i="3"/>
  <c r="I31" i="3"/>
  <c r="D32" i="3"/>
  <c r="F32" i="3" s="1"/>
  <c r="I30" i="3"/>
  <c r="D29" i="3"/>
  <c r="D28" i="3"/>
  <c r="I27" i="3"/>
  <c r="E27" i="3"/>
  <c r="E28" i="3" s="1"/>
  <c r="E29" i="3" s="1"/>
  <c r="D27" i="3"/>
  <c r="E26" i="3"/>
  <c r="D26" i="3"/>
  <c r="I13" i="3"/>
  <c r="I14" i="3"/>
  <c r="I11" i="3"/>
  <c r="I12" i="3"/>
  <c r="I10" i="3"/>
  <c r="I9" i="3"/>
  <c r="B30" i="3" l="1"/>
  <c r="B40" i="3"/>
  <c r="C31" i="3" s="1"/>
  <c r="D31" i="3" s="1"/>
  <c r="F31" i="3" s="1"/>
  <c r="I6" i="3"/>
  <c r="AT11" i="1"/>
  <c r="AV6" i="1" s="1"/>
  <c r="AT6" i="1" s="1"/>
  <c r="AR5" i="1"/>
  <c r="AR6" i="1"/>
  <c r="AR9" i="1"/>
  <c r="AR10" i="1"/>
  <c r="AQ3" i="1"/>
  <c r="AR3" i="1" s="1"/>
  <c r="AQ4" i="1"/>
  <c r="AR4" i="1" s="1"/>
  <c r="AQ5" i="1"/>
  <c r="AQ6" i="1"/>
  <c r="AQ7" i="1"/>
  <c r="AR7" i="1" s="1"/>
  <c r="AQ8" i="1"/>
  <c r="AR8" i="1" s="1"/>
  <c r="AQ9" i="1"/>
  <c r="AQ10" i="1"/>
  <c r="AQ11" i="1"/>
  <c r="AR11" i="1" s="1"/>
  <c r="AP4" i="1"/>
  <c r="AP5" i="1"/>
  <c r="AP6" i="1"/>
  <c r="AP7" i="1"/>
  <c r="AP8" i="1"/>
  <c r="AP9" i="1"/>
  <c r="AP10" i="1"/>
  <c r="AP11" i="1"/>
  <c r="AP3" i="1"/>
  <c r="AP12" i="1" s="1"/>
  <c r="AI13" i="1"/>
  <c r="AI14" i="1"/>
  <c r="AI23" i="1" s="1"/>
  <c r="AI32" i="1" s="1"/>
  <c r="AI41" i="1" s="1"/>
  <c r="AI50" i="1" s="1"/>
  <c r="AI59" i="1" s="1"/>
  <c r="AI68" i="1" s="1"/>
  <c r="AI15" i="1"/>
  <c r="AI16" i="1"/>
  <c r="AI25" i="1" s="1"/>
  <c r="AI34" i="1" s="1"/>
  <c r="AI43" i="1" s="1"/>
  <c r="AI52" i="1" s="1"/>
  <c r="AI61" i="1" s="1"/>
  <c r="AI70" i="1" s="1"/>
  <c r="AI17" i="1"/>
  <c r="AI18" i="1"/>
  <c r="AI27" i="1" s="1"/>
  <c r="AI36" i="1" s="1"/>
  <c r="AI45" i="1" s="1"/>
  <c r="AI54" i="1" s="1"/>
  <c r="AI63" i="1" s="1"/>
  <c r="AI72" i="1" s="1"/>
  <c r="AI19" i="1"/>
  <c r="AI28" i="1" s="1"/>
  <c r="AI37" i="1" s="1"/>
  <c r="AI46" i="1" s="1"/>
  <c r="AI55" i="1" s="1"/>
  <c r="AI64" i="1" s="1"/>
  <c r="AI73" i="1" s="1"/>
  <c r="AI20" i="1"/>
  <c r="AI29" i="1" s="1"/>
  <c r="AI38" i="1" s="1"/>
  <c r="AI47" i="1" s="1"/>
  <c r="AI56" i="1" s="1"/>
  <c r="AI65" i="1" s="1"/>
  <c r="AI74" i="1" s="1"/>
  <c r="AI22" i="1"/>
  <c r="AI31" i="1" s="1"/>
  <c r="AI40" i="1" s="1"/>
  <c r="AI49" i="1" s="1"/>
  <c r="AI58" i="1" s="1"/>
  <c r="AI67" i="1" s="1"/>
  <c r="AI24" i="1"/>
  <c r="AI33" i="1" s="1"/>
  <c r="AI42" i="1" s="1"/>
  <c r="AI51" i="1" s="1"/>
  <c r="AI60" i="1" s="1"/>
  <c r="AI69" i="1" s="1"/>
  <c r="AI26" i="1"/>
  <c r="AI35" i="1" s="1"/>
  <c r="AI44" i="1" s="1"/>
  <c r="AI53" i="1" s="1"/>
  <c r="AI62" i="1" s="1"/>
  <c r="AI71" i="1" s="1"/>
  <c r="AI12" i="1"/>
  <c r="AI21" i="1" s="1"/>
  <c r="AI30" i="1" s="1"/>
  <c r="AI39" i="1" s="1"/>
  <c r="AI48" i="1" s="1"/>
  <c r="AI57" i="1" s="1"/>
  <c r="AI66" i="1" s="1"/>
  <c r="I34" i="3" l="1"/>
  <c r="I37" i="3" s="1"/>
  <c r="D30" i="3"/>
  <c r="F30" i="3" s="1"/>
  <c r="F29" i="3" s="1"/>
  <c r="F28" i="3" s="1"/>
  <c r="F27" i="3" s="1"/>
  <c r="F26" i="3" s="1"/>
  <c r="F25" i="3" s="1"/>
  <c r="I23" i="3" s="1"/>
  <c r="E31" i="3"/>
  <c r="E32" i="3" s="1"/>
  <c r="I15" i="3"/>
  <c r="AS6" i="1"/>
  <c r="AS7" i="1"/>
  <c r="AQ12" i="1"/>
  <c r="AR12" i="1" s="1"/>
  <c r="AS12" i="1" s="1"/>
  <c r="AT4" i="1"/>
  <c r="AT9" i="1"/>
  <c r="AT7" i="1"/>
  <c r="AT5" i="1"/>
  <c r="AT10" i="1"/>
  <c r="AT8" i="1"/>
  <c r="I38" i="3" l="1"/>
  <c r="I39" i="3" s="1"/>
  <c r="AS5" i="1"/>
  <c r="AS4" i="1"/>
  <c r="AS3" i="1"/>
  <c r="AS8" i="1"/>
  <c r="AS10" i="1"/>
  <c r="AS11" i="1"/>
  <c r="AS9" i="1"/>
  <c r="AT12" i="1"/>
  <c r="CB5" i="7" l="1"/>
  <c r="CA5" i="7"/>
  <c r="CA4" i="7" l="1"/>
  <c r="BT18" i="7"/>
  <c r="BV18" i="7" s="1"/>
  <c r="BW18" i="7" s="1"/>
  <c r="BT17" i="7"/>
  <c r="BV17" i="7" s="1"/>
  <c r="BW17" i="7" s="1"/>
  <c r="BT16" i="7"/>
  <c r="BV16" i="7" s="1"/>
  <c r="BW16" i="7" s="1"/>
  <c r="BT15" i="7"/>
  <c r="BV15" i="7" s="1"/>
  <c r="BW15" i="7" s="1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T14" i="7"/>
  <c r="BV14" i="7" s="1"/>
  <c r="BW14" i="7" s="1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BB14" i="7" s="1"/>
  <c r="AF14" i="7"/>
  <c r="BT13" i="7"/>
  <c r="BV13" i="7" s="1"/>
  <c r="BW13" i="7" s="1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BB13" i="7" s="1"/>
  <c r="AF13" i="7"/>
  <c r="BT12" i="7"/>
  <c r="BV12" i="7" s="1"/>
  <c r="BW12" i="7" s="1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BB12" i="7" s="1"/>
  <c r="BT11" i="7"/>
  <c r="BV11" i="7" s="1"/>
  <c r="BW11" i="7" s="1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BB11" i="7" s="1"/>
  <c r="BT10" i="7"/>
  <c r="BV10" i="7" s="1"/>
  <c r="BW10" i="7" s="1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BB10" i="7" s="1"/>
  <c r="BT9" i="7"/>
  <c r="BV9" i="7" s="1"/>
  <c r="BW9" i="7" s="1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BB9" i="7" s="1"/>
  <c r="BT8" i="7"/>
  <c r="BV8" i="7" s="1"/>
  <c r="BW8" i="7" s="1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BB8" i="7" s="1"/>
  <c r="AE8" i="7"/>
  <c r="BT7" i="7"/>
  <c r="BV7" i="7" s="1"/>
  <c r="BW7" i="7" s="1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BB7" i="7" s="1"/>
  <c r="AE7" i="7"/>
  <c r="BT6" i="7"/>
  <c r="BV6" i="7" s="1"/>
  <c r="BW6" i="7" s="1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BB6" i="7" s="1"/>
  <c r="BT5" i="7"/>
  <c r="BV5" i="7" s="1"/>
  <c r="BW5" i="7" s="1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BB5" i="7" s="1"/>
  <c r="CB4" i="7"/>
  <c r="CB6" i="7" s="1"/>
  <c r="CA6" i="7"/>
  <c r="BT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BB4" i="7" s="1"/>
  <c r="AG4" i="7"/>
  <c r="AF4" i="7"/>
  <c r="AE4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BB3" i="7" s="1"/>
  <c r="D10" i="3"/>
  <c r="F10" i="3" s="1"/>
  <c r="D9" i="3"/>
  <c r="D8" i="3"/>
  <c r="D7" i="3"/>
  <c r="D6" i="3"/>
  <c r="E5" i="3"/>
  <c r="E6" i="3" s="1"/>
  <c r="E7" i="3" s="1"/>
  <c r="E8" i="3" s="1"/>
  <c r="E9" i="3" s="1"/>
  <c r="E10" i="3" s="1"/>
  <c r="D5" i="3"/>
  <c r="BC3" i="7" l="1"/>
  <c r="BT19" i="7"/>
  <c r="F9" i="3"/>
  <c r="AF15" i="7"/>
  <c r="AG16" i="7" s="1"/>
  <c r="BC14" i="7"/>
  <c r="BC5" i="7"/>
  <c r="AE9" i="7"/>
  <c r="AF10" i="7" s="1"/>
  <c r="BC8" i="7"/>
  <c r="BC9" i="7"/>
  <c r="BD3" i="7"/>
  <c r="BC4" i="7"/>
  <c r="CB8" i="7"/>
  <c r="BD5" i="7"/>
  <c r="BC6" i="7"/>
  <c r="BC7" i="7"/>
  <c r="BD8" i="7"/>
  <c r="BD9" i="7"/>
  <c r="BC10" i="7"/>
  <c r="BC11" i="7"/>
  <c r="BC12" i="7"/>
  <c r="BC13" i="7"/>
  <c r="BD14" i="7"/>
  <c r="BD4" i="7"/>
  <c r="BD6" i="7"/>
  <c r="BD7" i="7"/>
  <c r="BD10" i="7"/>
  <c r="BD11" i="7"/>
  <c r="BD12" i="7"/>
  <c r="BD13" i="7"/>
  <c r="BV4" i="7"/>
  <c r="AB7" i="1"/>
  <c r="AB6" i="1"/>
  <c r="AB5" i="1"/>
  <c r="AB4" i="1"/>
  <c r="AA7" i="1"/>
  <c r="AA6" i="1"/>
  <c r="AC6" i="1" s="1"/>
  <c r="AA5" i="1"/>
  <c r="AA4" i="1"/>
  <c r="AC7" i="1"/>
  <c r="J8" i="1"/>
  <c r="I8" i="1"/>
  <c r="L8" i="1" s="1"/>
  <c r="O6" i="1" s="1"/>
  <c r="D22" i="1"/>
  <c r="O3" i="1" s="1"/>
  <c r="C22" i="1"/>
  <c r="E22" i="1" s="1"/>
  <c r="O4" i="1" s="1"/>
  <c r="K5" i="1"/>
  <c r="K6" i="1"/>
  <c r="K7" i="1"/>
  <c r="K4" i="1"/>
  <c r="E5" i="1"/>
  <c r="U5" i="1" s="1"/>
  <c r="E6" i="1"/>
  <c r="U6" i="1" s="1"/>
  <c r="E7" i="1"/>
  <c r="U7" i="1" s="1"/>
  <c r="E8" i="1"/>
  <c r="U8" i="1" s="1"/>
  <c r="E9" i="1"/>
  <c r="U9" i="1" s="1"/>
  <c r="E10" i="1"/>
  <c r="U10" i="1" s="1"/>
  <c r="E11" i="1"/>
  <c r="U11" i="1" s="1"/>
  <c r="E12" i="1"/>
  <c r="U12" i="1" s="1"/>
  <c r="E13" i="1"/>
  <c r="U17" i="1" s="1"/>
  <c r="E14" i="1"/>
  <c r="U18" i="1" s="1"/>
  <c r="E15" i="1"/>
  <c r="U19" i="1" s="1"/>
  <c r="E16" i="1"/>
  <c r="U20" i="1" s="1"/>
  <c r="E17" i="1"/>
  <c r="U21" i="1" s="1"/>
  <c r="E18" i="1"/>
  <c r="U22" i="1" s="1"/>
  <c r="E19" i="1"/>
  <c r="U23" i="1" s="1"/>
  <c r="E20" i="1"/>
  <c r="U24" i="1" s="1"/>
  <c r="E21" i="1"/>
  <c r="U25" i="1" s="1"/>
  <c r="E4" i="1"/>
  <c r="U4" i="1" s="1"/>
  <c r="AB8" i="1" l="1"/>
  <c r="AG18" i="7"/>
  <c r="F8" i="3"/>
  <c r="F7" i="3" s="1"/>
  <c r="F22" i="1"/>
  <c r="O5" i="1" s="1"/>
  <c r="O7" i="1" s="1"/>
  <c r="BC15" i="7"/>
  <c r="BW4" i="7"/>
  <c r="BW19" i="7" s="1"/>
  <c r="BV19" i="7"/>
  <c r="BD15" i="7"/>
  <c r="AA8" i="1"/>
  <c r="AC8" i="1" s="1"/>
  <c r="AC5" i="1"/>
  <c r="U26" i="1"/>
  <c r="V26" i="1" s="1"/>
  <c r="U13" i="1"/>
  <c r="V6" i="1" s="1"/>
  <c r="AC4" i="1"/>
  <c r="K8" i="1"/>
  <c r="AK7" i="1" l="1"/>
  <c r="AK11" i="1"/>
  <c r="AK23" i="1"/>
  <c r="AK39" i="1"/>
  <c r="AK51" i="1"/>
  <c r="AK63" i="1"/>
  <c r="AK3" i="1"/>
  <c r="AK4" i="1"/>
  <c r="AK8" i="1"/>
  <c r="AK12" i="1"/>
  <c r="AK16" i="1"/>
  <c r="AK20" i="1"/>
  <c r="AK24" i="1"/>
  <c r="AK28" i="1"/>
  <c r="AK32" i="1"/>
  <c r="AK36" i="1"/>
  <c r="AK40" i="1"/>
  <c r="AK44" i="1"/>
  <c r="AK48" i="1"/>
  <c r="AK52" i="1"/>
  <c r="AK56" i="1"/>
  <c r="AK60" i="1"/>
  <c r="AK64" i="1"/>
  <c r="AK68" i="1"/>
  <c r="AK72" i="1"/>
  <c r="AK10" i="1"/>
  <c r="AK18" i="1"/>
  <c r="AK26" i="1"/>
  <c r="AK34" i="1"/>
  <c r="AK42" i="1"/>
  <c r="AK50" i="1"/>
  <c r="AK58" i="1"/>
  <c r="AK66" i="1"/>
  <c r="AK74" i="1"/>
  <c r="AK15" i="1"/>
  <c r="AK27" i="1"/>
  <c r="AK35" i="1"/>
  <c r="AK47" i="1"/>
  <c r="AK59" i="1"/>
  <c r="AK71" i="1"/>
  <c r="AK5" i="1"/>
  <c r="AK9" i="1"/>
  <c r="AK13" i="1"/>
  <c r="AK17" i="1"/>
  <c r="AK21" i="1"/>
  <c r="AK25" i="1"/>
  <c r="AK29" i="1"/>
  <c r="AK33" i="1"/>
  <c r="AK37" i="1"/>
  <c r="AK41" i="1"/>
  <c r="AK45" i="1"/>
  <c r="AK49" i="1"/>
  <c r="AK53" i="1"/>
  <c r="AK57" i="1"/>
  <c r="AK61" i="1"/>
  <c r="AK65" i="1"/>
  <c r="AK69" i="1"/>
  <c r="AK73" i="1"/>
  <c r="AK6" i="1"/>
  <c r="AK14" i="1"/>
  <c r="AK22" i="1"/>
  <c r="AK30" i="1"/>
  <c r="AK38" i="1"/>
  <c r="AK46" i="1"/>
  <c r="AK54" i="1"/>
  <c r="AK62" i="1"/>
  <c r="AK70" i="1"/>
  <c r="AK19" i="1"/>
  <c r="AK31" i="1"/>
  <c r="AK43" i="1"/>
  <c r="AK55" i="1"/>
  <c r="AK67" i="1"/>
  <c r="V7" i="1"/>
  <c r="V10" i="1"/>
  <c r="V22" i="1"/>
  <c r="V21" i="1"/>
  <c r="AD6" i="1"/>
  <c r="F6" i="3"/>
  <c r="AD4" i="1"/>
  <c r="AD5" i="1"/>
  <c r="AD7" i="1"/>
  <c r="V18" i="1"/>
  <c r="U27" i="1"/>
  <c r="V13" i="1"/>
  <c r="V11" i="1"/>
  <c r="V23" i="1"/>
  <c r="V8" i="1"/>
  <c r="V12" i="1"/>
  <c r="V20" i="1"/>
  <c r="V24" i="1"/>
  <c r="V9" i="1"/>
  <c r="V25" i="1"/>
  <c r="V4" i="1"/>
  <c r="V17" i="1"/>
  <c r="V5" i="1"/>
  <c r="V19" i="1"/>
  <c r="F5" i="3" l="1"/>
  <c r="F4" i="3" s="1"/>
  <c r="I2" i="3" s="1"/>
  <c r="I16" i="3" s="1"/>
  <c r="I17" i="3" s="1"/>
  <c r="AD8" i="1"/>
  <c r="W11" i="1"/>
  <c r="W9" i="1"/>
  <c r="W7" i="1"/>
  <c r="W5" i="1"/>
  <c r="W12" i="1"/>
  <c r="W10" i="1"/>
  <c r="W8" i="1"/>
  <c r="W6" i="1"/>
  <c r="W4" i="1"/>
  <c r="W24" i="1"/>
  <c r="W22" i="1"/>
  <c r="W20" i="1"/>
  <c r="W18" i="1"/>
  <c r="W25" i="1"/>
  <c r="W23" i="1"/>
  <c r="W21" i="1"/>
  <c r="W19" i="1"/>
  <c r="W17" i="1"/>
  <c r="W26" i="1" l="1"/>
  <c r="X20" i="1" s="1"/>
  <c r="W13" i="1"/>
  <c r="X4" i="1" s="1"/>
  <c r="AJ21" i="1" l="1"/>
  <c r="AL21" i="1" s="1"/>
  <c r="AJ57" i="1"/>
  <c r="AL57" i="1" s="1"/>
  <c r="AJ3" i="1"/>
  <c r="AL3" i="1" s="1"/>
  <c r="AJ39" i="1"/>
  <c r="AL39" i="1" s="1"/>
  <c r="AJ51" i="1"/>
  <c r="AL51" i="1" s="1"/>
  <c r="AJ15" i="1"/>
  <c r="AL15" i="1" s="1"/>
  <c r="AJ69" i="1"/>
  <c r="AL69" i="1" s="1"/>
  <c r="AJ33" i="1"/>
  <c r="AL33" i="1" s="1"/>
  <c r="X5" i="1"/>
  <c r="X24" i="1"/>
  <c r="X17" i="1"/>
  <c r="X7" i="1"/>
  <c r="X8" i="1"/>
  <c r="X22" i="1"/>
  <c r="X23" i="1"/>
  <c r="X6" i="1"/>
  <c r="X21" i="1"/>
  <c r="X9" i="1"/>
  <c r="X10" i="1"/>
  <c r="X25" i="1"/>
  <c r="X11" i="1"/>
  <c r="X12" i="1"/>
  <c r="X18" i="1"/>
  <c r="X19" i="1"/>
  <c r="AJ32" i="1" l="1"/>
  <c r="AL32" i="1" s="1"/>
  <c r="AJ50" i="1"/>
  <c r="AL50" i="1" s="1"/>
  <c r="AJ68" i="1"/>
  <c r="AL68" i="1" s="1"/>
  <c r="AJ14" i="1"/>
  <c r="AL14" i="1" s="1"/>
  <c r="AJ56" i="1"/>
  <c r="AL56" i="1" s="1"/>
  <c r="AJ74" i="1"/>
  <c r="AL74" i="1" s="1"/>
  <c r="AJ38" i="1"/>
  <c r="AL38" i="1" s="1"/>
  <c r="AJ20" i="1"/>
  <c r="AL20" i="1" s="1"/>
  <c r="AJ5" i="1"/>
  <c r="AL5" i="1" s="1"/>
  <c r="AJ41" i="1"/>
  <c r="AL41" i="1" s="1"/>
  <c r="AJ59" i="1"/>
  <c r="AL59" i="1" s="1"/>
  <c r="AJ23" i="1"/>
  <c r="AL23" i="1" s="1"/>
  <c r="AJ24" i="1"/>
  <c r="AL24" i="1" s="1"/>
  <c r="AJ60" i="1"/>
  <c r="AL60" i="1" s="1"/>
  <c r="AJ42" i="1"/>
  <c r="AL42" i="1" s="1"/>
  <c r="AJ6" i="1"/>
  <c r="AL6" i="1" s="1"/>
  <c r="AJ31" i="1"/>
  <c r="AL31" i="1" s="1"/>
  <c r="AJ13" i="1"/>
  <c r="AL13" i="1" s="1"/>
  <c r="AJ67" i="1"/>
  <c r="AL67" i="1" s="1"/>
  <c r="AJ49" i="1"/>
  <c r="AL49" i="1" s="1"/>
  <c r="AJ63" i="1"/>
  <c r="AL63" i="1" s="1"/>
  <c r="AJ9" i="1"/>
  <c r="AL9" i="1" s="1"/>
  <c r="AJ27" i="1"/>
  <c r="AL27" i="1" s="1"/>
  <c r="AJ45" i="1"/>
  <c r="AL45" i="1" s="1"/>
  <c r="AJ72" i="1"/>
  <c r="AL72" i="1" s="1"/>
  <c r="AJ54" i="1"/>
  <c r="AL54" i="1" s="1"/>
  <c r="AJ18" i="1"/>
  <c r="AL18" i="1" s="1"/>
  <c r="AJ36" i="1"/>
  <c r="AL36" i="1" s="1"/>
  <c r="AJ66" i="1"/>
  <c r="AL66" i="1" s="1"/>
  <c r="AJ12" i="1"/>
  <c r="AL12" i="1" s="1"/>
  <c r="AJ30" i="1"/>
  <c r="AL30" i="1" s="1"/>
  <c r="AJ48" i="1"/>
  <c r="AL48" i="1" s="1"/>
  <c r="AJ47" i="1"/>
  <c r="AL47" i="1" s="1"/>
  <c r="AJ11" i="1"/>
  <c r="AL11" i="1" s="1"/>
  <c r="AJ29" i="1"/>
  <c r="AL29" i="1" s="1"/>
  <c r="AJ65" i="1"/>
  <c r="AL65" i="1" s="1"/>
  <c r="AJ8" i="1"/>
  <c r="AL8" i="1" s="1"/>
  <c r="AJ44" i="1"/>
  <c r="AL44" i="1" s="1"/>
  <c r="AJ62" i="1"/>
  <c r="AL62" i="1" s="1"/>
  <c r="AJ26" i="1"/>
  <c r="AL26" i="1" s="1"/>
  <c r="AJ35" i="1"/>
  <c r="AL35" i="1" s="1"/>
  <c r="AJ71" i="1"/>
  <c r="AL71" i="1" s="1"/>
  <c r="AJ17" i="1"/>
  <c r="AL17" i="1" s="1"/>
  <c r="AJ53" i="1"/>
  <c r="AL53" i="1" s="1"/>
  <c r="AJ73" i="1"/>
  <c r="AL73" i="1" s="1"/>
  <c r="AJ37" i="1"/>
  <c r="AL37" i="1" s="1"/>
  <c r="AJ55" i="1"/>
  <c r="AL55" i="1" s="1"/>
  <c r="AJ19" i="1"/>
  <c r="AL19" i="1" s="1"/>
  <c r="AJ28" i="1"/>
  <c r="AL28" i="1" s="1"/>
  <c r="AJ10" i="1"/>
  <c r="AL10" i="1" s="1"/>
  <c r="AJ64" i="1"/>
  <c r="AL64" i="1" s="1"/>
  <c r="AJ46" i="1"/>
  <c r="AL46" i="1" s="1"/>
  <c r="AJ34" i="1"/>
  <c r="AL34" i="1" s="1"/>
  <c r="AJ16" i="1"/>
  <c r="AL16" i="1" s="1"/>
  <c r="AJ70" i="1"/>
  <c r="AL70" i="1" s="1"/>
  <c r="AJ52" i="1"/>
  <c r="AL52" i="1" s="1"/>
  <c r="AJ25" i="1"/>
  <c r="AL25" i="1" s="1"/>
  <c r="AJ61" i="1"/>
  <c r="AL61" i="1" s="1"/>
  <c r="AJ43" i="1"/>
  <c r="AL43" i="1" s="1"/>
  <c r="AJ7" i="1"/>
  <c r="AL7" i="1" s="1"/>
  <c r="AJ40" i="1"/>
  <c r="AL40" i="1" s="1"/>
  <c r="AJ22" i="1"/>
  <c r="AL22" i="1" s="1"/>
  <c r="AJ4" i="1"/>
  <c r="AL4" i="1" s="1"/>
  <c r="AJ58" i="1"/>
  <c r="AL58" i="1" s="1"/>
  <c r="X13" i="1"/>
  <c r="X26" i="1"/>
  <c r="X27" i="1" l="1"/>
</calcChain>
</file>

<file path=xl/sharedStrings.xml><?xml version="1.0" encoding="utf-8"?>
<sst xmlns="http://schemas.openxmlformats.org/spreadsheetml/2006/main" count="645" uniqueCount="178">
  <si>
    <t>Allowed</t>
  </si>
  <si>
    <t>Average</t>
  </si>
  <si>
    <t>Cumulative</t>
  </si>
  <si>
    <t>Claims</t>
  </si>
  <si>
    <t>Rating</t>
  </si>
  <si>
    <t>Annual</t>
  </si>
  <si>
    <t>Incurred and</t>
  </si>
  <si>
    <t>Gender</t>
  </si>
  <si>
    <t>Age</t>
  </si>
  <si>
    <t>Members</t>
  </si>
  <si>
    <t>PMPM</t>
  </si>
  <si>
    <t>Area</t>
  </si>
  <si>
    <t>Area Factor</t>
  </si>
  <si>
    <t>Total Allowed Claims</t>
  </si>
  <si>
    <t>Year</t>
  </si>
  <si>
    <t>Range</t>
  </si>
  <si>
    <t>Frequency</t>
  </si>
  <si>
    <t>Cost</t>
  </si>
  <si>
    <t>Plan</t>
  </si>
  <si>
    <t>Yr/Mo</t>
  </si>
  <si>
    <t>2009/01</t>
  </si>
  <si>
    <t>2009/02</t>
  </si>
  <si>
    <t>2009/03</t>
  </si>
  <si>
    <t>2009/04</t>
  </si>
  <si>
    <t>2009/05</t>
  </si>
  <si>
    <t>2009/06</t>
  </si>
  <si>
    <t>2009/07</t>
  </si>
  <si>
    <t>2009/08</t>
  </si>
  <si>
    <t>2009/09</t>
  </si>
  <si>
    <t>2009/10</t>
  </si>
  <si>
    <t>2009/11</t>
  </si>
  <si>
    <t>2009/12</t>
  </si>
  <si>
    <t>2010/01</t>
  </si>
  <si>
    <t>2010/02</t>
  </si>
  <si>
    <t>2010/03</t>
  </si>
  <si>
    <t>2010/04</t>
  </si>
  <si>
    <t>2010/05</t>
  </si>
  <si>
    <t>2010/06</t>
  </si>
  <si>
    <t>2010/07</t>
  </si>
  <si>
    <t>2010/08</t>
  </si>
  <si>
    <t>2010/09</t>
  </si>
  <si>
    <t>2010/10</t>
  </si>
  <si>
    <t>2010/11</t>
  </si>
  <si>
    <t>2010/12</t>
  </si>
  <si>
    <t>2011/01</t>
  </si>
  <si>
    <t>2011/02</t>
  </si>
  <si>
    <t>2011/03</t>
  </si>
  <si>
    <t>IncurredYrMo</t>
  </si>
  <si>
    <t>Paid to Date</t>
  </si>
  <si>
    <t>Lag0</t>
  </si>
  <si>
    <t>Lag1</t>
  </si>
  <si>
    <t>Lag2</t>
  </si>
  <si>
    <t>Lag3</t>
  </si>
  <si>
    <t>Lag4</t>
  </si>
  <si>
    <t>Lag5</t>
  </si>
  <si>
    <t>Lag6</t>
  </si>
  <si>
    <t>Lag7</t>
  </si>
  <si>
    <t>Lag8</t>
  </si>
  <si>
    <t>Lag9</t>
  </si>
  <si>
    <t>Lag10</t>
  </si>
  <si>
    <t>Lag11</t>
  </si>
  <si>
    <t>Lag12</t>
  </si>
  <si>
    <t>Lag13</t>
  </si>
  <si>
    <t>Lag14</t>
  </si>
  <si>
    <t>F</t>
  </si>
  <si>
    <t>0-24</t>
  </si>
  <si>
    <t>Alpha</t>
  </si>
  <si>
    <t>Allowed Claims PMPM</t>
  </si>
  <si>
    <t>0.00</t>
  </si>
  <si>
    <t>Allowed Claims per Member</t>
  </si>
  <si>
    <t>Member Months</t>
  </si>
  <si>
    <t>Total Premium</t>
  </si>
  <si>
    <t>25-29</t>
  </si>
  <si>
    <t>Bravo</t>
  </si>
  <si>
    <t>Total AGF</t>
  </si>
  <si>
    <t>0.01 - 500.00</t>
  </si>
  <si>
    <t>Member Deductible</t>
  </si>
  <si>
    <t>Premium PMPM</t>
  </si>
  <si>
    <t>Pricing Loss Ratio</t>
  </si>
  <si>
    <t>30-34</t>
  </si>
  <si>
    <t>Charlie</t>
  </si>
  <si>
    <t>Total Area</t>
  </si>
  <si>
    <t>500.01 - 2,500.00</t>
  </si>
  <si>
    <t>Member Coinsurance</t>
  </si>
  <si>
    <t>Incurred Claims Estimate</t>
  </si>
  <si>
    <t>35-39</t>
  </si>
  <si>
    <t>Delta</t>
  </si>
  <si>
    <t>Normalized Allowed PMPM</t>
  </si>
  <si>
    <t>2,500.01 - 5,500.00</t>
  </si>
  <si>
    <t>Coinsurance Maximum</t>
  </si>
  <si>
    <t>Incurred and Paid to Date</t>
  </si>
  <si>
    <t>40-44</t>
  </si>
  <si>
    <t>Total</t>
  </si>
  <si>
    <t>5,500.01 - 10,500.00</t>
  </si>
  <si>
    <t>Threshold</t>
  </si>
  <si>
    <t>Incurred in CY 2009</t>
  </si>
  <si>
    <t>IBNR</t>
  </si>
  <si>
    <t>45-49</t>
  </si>
  <si>
    <t>10,500.01 - 100,000.00</t>
  </si>
  <si>
    <t>Paid thru EOY</t>
  </si>
  <si>
    <t>50-54</t>
  </si>
  <si>
    <t>Above 100,000.01</t>
  </si>
  <si>
    <t>Paid after EOY (Runout)</t>
  </si>
  <si>
    <t>Reserve at Valuation Date</t>
  </si>
  <si>
    <t>55-59</t>
  </si>
  <si>
    <t>Runout as % of Premium</t>
  </si>
  <si>
    <t>60-64</t>
  </si>
  <si>
    <t>Reserve for CY 2010</t>
  </si>
  <si>
    <t>M</t>
  </si>
  <si>
    <t>Allowed PMPM</t>
  </si>
  <si>
    <t>Valuation Date = 03/31/2011</t>
  </si>
  <si>
    <t>Paid to Allowed Ratio</t>
  </si>
  <si>
    <t>Incurred in 1Q 2010</t>
  </si>
  <si>
    <t>Paid thru 3/31</t>
  </si>
  <si>
    <t>Paid after 3/31 (Runout)</t>
  </si>
  <si>
    <t>Ultimate</t>
  </si>
  <si>
    <t>Incurred</t>
  </si>
  <si>
    <t>Estimated</t>
  </si>
  <si>
    <t>Lag Factor</t>
  </si>
  <si>
    <t>Estimate</t>
  </si>
  <si>
    <t>Relativity</t>
  </si>
  <si>
    <t>Curve</t>
  </si>
  <si>
    <t>Final</t>
  </si>
  <si>
    <t>to Gender</t>
  </si>
  <si>
    <t>Fit</t>
  </si>
  <si>
    <t>Fitted</t>
  </si>
  <si>
    <t>Factor</t>
  </si>
  <si>
    <t>Subtotal</t>
  </si>
  <si>
    <t>to Overall</t>
  </si>
  <si>
    <t>Rating AGF</t>
  </si>
  <si>
    <t>Reserve for YTD 2011</t>
  </si>
  <si>
    <t>Reserve at Valuation Date 3/31/2011</t>
  </si>
  <si>
    <t>Table 30.2 - Manual Base Rate Calculation</t>
  </si>
  <si>
    <t>Table 30.3 - Claim Probability Distribution, Allowed Dollars per Member</t>
  </si>
  <si>
    <t>Table 31.1 - Reserve Using Factor Method</t>
  </si>
  <si>
    <t>Table 31.2 - Lag Method IBNR</t>
  </si>
  <si>
    <t>Table 31.3 - Reserve Using Loss Ratio Method</t>
  </si>
  <si>
    <t>Example 30.2 - Claims Experience by Age and Gender</t>
  </si>
  <si>
    <t>Example 30.3 - Rating Factors by Area</t>
  </si>
  <si>
    <t>Example 30.4</t>
  </si>
  <si>
    <t>Example 30.5 - Rebalancing and Smoothing Age/Gender Factors</t>
  </si>
  <si>
    <t>Example 30.6 - Rebalancing Area Factors</t>
  </si>
  <si>
    <t>Example 30.9</t>
  </si>
  <si>
    <t>Example 31.1 - Incurred/Paid Claims Triangle; Row Headings = Incurred Year/Month, Column Headings = Paid Year/Month</t>
  </si>
  <si>
    <t>Example 31.2</t>
  </si>
  <si>
    <t>Example 31.3 - Claim Payment Runout, for Reserve Using Lag Method</t>
  </si>
  <si>
    <t>Example 31.3 - Claim Payment Ratios by Lag Month, for Reserve Using Lag Method</t>
  </si>
  <si>
    <t>Example 31.3</t>
  </si>
  <si>
    <t>Solution to Exercise 30.1</t>
  </si>
  <si>
    <t>Age offset</t>
  </si>
  <si>
    <t>Numerator</t>
  </si>
  <si>
    <t>Denominator</t>
  </si>
  <si>
    <t>Abs change</t>
  </si>
  <si>
    <t>Solution to Exercise 30.2</t>
  </si>
  <si>
    <t>Allowed Claims</t>
  </si>
  <si>
    <t>&lt;- set as three times cell AS3 to ensure restriction</t>
  </si>
  <si>
    <t>&lt;-solve for this cell to ensure overall relativity is 1</t>
  </si>
  <si>
    <t>Midpt</t>
  </si>
  <si>
    <t>Exponential growth rate based on start and end values</t>
  </si>
  <si>
    <t>Exercise 31.1</t>
  </si>
  <si>
    <t>infinity</t>
  </si>
  <si>
    <t>Total Expected Savings</t>
  </si>
  <si>
    <t>Expected Insurance Payment per Member</t>
  </si>
  <si>
    <t>Upper Limit (entries are expected savings)</t>
  </si>
  <si>
    <t>Solution to Exercise 30.3 version 1</t>
  </si>
  <si>
    <t>Assume all in the 10,500-100,000 band have a claim of 24, 799.74</t>
  </si>
  <si>
    <t>Solution to Exercise 30.3 version 2</t>
  </si>
  <si>
    <t>Revised for version 2 of solution</t>
  </si>
  <si>
    <t>Allocate frequency proportionally</t>
  </si>
  <si>
    <t>Determine other values to maintain original amounts</t>
  </si>
  <si>
    <t>10,500-100,000 freq</t>
  </si>
  <si>
    <t>10,500-100,000 avg</t>
  </si>
  <si>
    <t>Assume average claim from 10,500 to 11,000 is at midpoint</t>
  </si>
  <si>
    <t>11,000.01 - 100,000.00</t>
  </si>
  <si>
    <t>10,500.01-11,000.00</t>
  </si>
  <si>
    <t>10,500-11,000 freq</t>
  </si>
  <si>
    <t>10,500-11,000 avg</t>
  </si>
  <si>
    <t>11,000-100,000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</si>
</sst>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0_);_(* \(#,##0.0000\);_(* &quot;-&quot;??_);_(@_)"/>
    <numFmt numFmtId="167" formatCode="0.000000"/>
    <numFmt numFmtId="168" formatCode="0.0%"/>
    <numFmt numFmtId="169" formatCode="0.000%"/>
    <numFmt numFmtId="170" formatCode="_(* #,##0.000000_);_(* \(#,##0.000000\);_(* &quot;-&quot;??_);_(@_)"/>
    <numFmt numFmtId="171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auto="1"/>
      </left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18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3" fontId="1" fillId="0" borderId="0" xfId="1" applyNumberFormat="1" applyFont="1"/>
    <xf numFmtId="166" fontId="1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166" fontId="2" fillId="0" borderId="0" xfId="0" applyNumberFormat="1" applyFont="1"/>
    <xf numFmtId="169" fontId="0" fillId="0" borderId="0" xfId="2" applyNumberFormat="1" applyFont="1"/>
    <xf numFmtId="0" fontId="7" fillId="0" borderId="0" xfId="4" applyFont="1" applyFill="1" applyBorder="1" applyAlignment="1">
      <alignment wrapText="1"/>
    </xf>
    <xf numFmtId="3" fontId="2" fillId="0" borderId="0" xfId="1" applyNumberFormat="1" applyFont="1"/>
    <xf numFmtId="170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3" fontId="1" fillId="0" borderId="0" xfId="1" applyNumberFormat="1" applyFont="1" applyBorder="1"/>
    <xf numFmtId="43" fontId="1" fillId="0" borderId="0" xfId="1" applyFont="1" applyBorder="1"/>
    <xf numFmtId="166" fontId="1" fillId="0" borderId="5" xfId="0" applyNumberFormat="1" applyFont="1" applyBorder="1"/>
    <xf numFmtId="0" fontId="2" fillId="0" borderId="0" xfId="0" applyFont="1" applyBorder="1"/>
    <xf numFmtId="3" fontId="2" fillId="0" borderId="0" xfId="1" applyNumberFormat="1" applyFont="1" applyBorder="1"/>
    <xf numFmtId="0" fontId="8" fillId="0" borderId="6" xfId="0" applyFont="1" applyBorder="1"/>
    <xf numFmtId="0" fontId="2" fillId="0" borderId="7" xfId="0" applyFont="1" applyBorder="1"/>
    <xf numFmtId="3" fontId="2" fillId="0" borderId="7" xfId="1" applyNumberFormat="1" applyFont="1" applyBorder="1"/>
    <xf numFmtId="0" fontId="0" fillId="0" borderId="3" xfId="0" applyBorder="1"/>
    <xf numFmtId="165" fontId="5" fillId="0" borderId="4" xfId="3" applyNumberFormat="1" applyFont="1" applyBorder="1" applyAlignment="1">
      <alignment horizontal="right"/>
    </xf>
    <xf numFmtId="164" fontId="1" fillId="0" borderId="0" xfId="0" applyNumberFormat="1" applyFont="1" applyBorder="1"/>
    <xf numFmtId="43" fontId="1" fillId="0" borderId="0" xfId="0" applyNumberFormat="1" applyFont="1" applyBorder="1"/>
    <xf numFmtId="164" fontId="2" fillId="0" borderId="0" xfId="0" applyNumberFormat="1" applyFont="1" applyBorder="1"/>
    <xf numFmtId="164" fontId="1" fillId="0" borderId="3" xfId="0" applyNumberFormat="1" applyFont="1" applyBorder="1"/>
    <xf numFmtId="43" fontId="1" fillId="0" borderId="5" xfId="1" applyFont="1" applyBorder="1"/>
    <xf numFmtId="0" fontId="2" fillId="0" borderId="4" xfId="0" applyFont="1" applyBorder="1"/>
    <xf numFmtId="0" fontId="2" fillId="0" borderId="1" xfId="0" applyFont="1" applyBorder="1"/>
    <xf numFmtId="164" fontId="0" fillId="0" borderId="0" xfId="1" applyNumberFormat="1" applyFont="1" applyBorder="1"/>
    <xf numFmtId="0" fontId="0" fillId="0" borderId="5" xfId="0" applyBorder="1"/>
    <xf numFmtId="43" fontId="0" fillId="0" borderId="0" xfId="1" applyFont="1" applyBorder="1"/>
    <xf numFmtId="167" fontId="0" fillId="0" borderId="0" xfId="0" applyNumberFormat="1" applyBorder="1"/>
    <xf numFmtId="43" fontId="0" fillId="0" borderId="5" xfId="1" applyFont="1" applyBorder="1"/>
    <xf numFmtId="43" fontId="0" fillId="0" borderId="5" xfId="0" applyNumberFormat="1" applyBorder="1"/>
    <xf numFmtId="9" fontId="0" fillId="0" borderId="5" xfId="2" applyFont="1" applyBorder="1"/>
    <xf numFmtId="0" fontId="0" fillId="0" borderId="4" xfId="0" applyFont="1" applyBorder="1"/>
    <xf numFmtId="164" fontId="0" fillId="0" borderId="5" xfId="1" applyNumberFormat="1" applyFont="1" applyBorder="1"/>
    <xf numFmtId="0" fontId="2" fillId="0" borderId="1" xfId="1" applyNumberFormat="1" applyFont="1" applyBorder="1" applyAlignment="1">
      <alignment horizontal="left"/>
    </xf>
    <xf numFmtId="165" fontId="2" fillId="0" borderId="2" xfId="1" applyNumberFormat="1" applyFont="1" applyBorder="1"/>
    <xf numFmtId="165" fontId="2" fillId="0" borderId="3" xfId="1" applyNumberFormat="1" applyFont="1" applyBorder="1"/>
    <xf numFmtId="164" fontId="0" fillId="0" borderId="0" xfId="0" applyNumberFormat="1" applyBorder="1"/>
    <xf numFmtId="164" fontId="0" fillId="0" borderId="5" xfId="0" applyNumberFormat="1" applyBorder="1"/>
    <xf numFmtId="43" fontId="0" fillId="0" borderId="0" xfId="1" applyNumberFormat="1" applyFont="1" applyBorder="1"/>
    <xf numFmtId="43" fontId="0" fillId="0" borderId="5" xfId="1" applyNumberFormat="1" applyFont="1" applyBorder="1"/>
    <xf numFmtId="0" fontId="0" fillId="0" borderId="4" xfId="0" applyBorder="1" applyAlignment="1">
      <alignment horizontal="left" indent="1"/>
    </xf>
    <xf numFmtId="169" fontId="0" fillId="0" borderId="0" xfId="2" applyNumberFormat="1" applyFont="1" applyBorder="1"/>
    <xf numFmtId="164" fontId="2" fillId="0" borderId="0" xfId="1" applyNumberFormat="1" applyFont="1" applyBorder="1"/>
    <xf numFmtId="164" fontId="2" fillId="0" borderId="5" xfId="1" applyNumberFormat="1" applyFont="1" applyBorder="1"/>
    <xf numFmtId="164" fontId="2" fillId="0" borderId="5" xfId="0" applyNumberFormat="1" applyFont="1" applyBorder="1"/>
    <xf numFmtId="0" fontId="0" fillId="0" borderId="1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9" xfId="4" applyFont="1" applyFill="1" applyBorder="1" applyAlignment="1">
      <alignment wrapText="1"/>
    </xf>
    <xf numFmtId="164" fontId="0" fillId="0" borderId="7" xfId="1" applyNumberFormat="1" applyFont="1" applyBorder="1"/>
    <xf numFmtId="164" fontId="0" fillId="0" borderId="8" xfId="1" applyNumberFormat="1" applyFont="1" applyBorder="1"/>
    <xf numFmtId="170" fontId="0" fillId="0" borderId="0" xfId="1" applyNumberFormat="1" applyFont="1" applyBorder="1"/>
    <xf numFmtId="170" fontId="0" fillId="0" borderId="5" xfId="1" applyNumberFormat="1" applyFont="1" applyBorder="1"/>
    <xf numFmtId="0" fontId="7" fillId="0" borderId="4" xfId="4" applyFont="1" applyFill="1" applyBorder="1" applyAlignment="1">
      <alignment wrapText="1"/>
    </xf>
    <xf numFmtId="170" fontId="0" fillId="0" borderId="0" xfId="0" applyNumberFormat="1" applyBorder="1"/>
    <xf numFmtId="170" fontId="0" fillId="0" borderId="5" xfId="0" applyNumberFormat="1" applyBorder="1"/>
    <xf numFmtId="0" fontId="9" fillId="0" borderId="10" xfId="4" applyFont="1" applyFill="1" applyBorder="1" applyAlignment="1">
      <alignment wrapText="1"/>
    </xf>
    <xf numFmtId="168" fontId="0" fillId="0" borderId="0" xfId="2" applyNumberFormat="1" applyFont="1" applyBorder="1"/>
    <xf numFmtId="168" fontId="0" fillId="0" borderId="5" xfId="2" applyNumberFormat="1" applyFont="1" applyBorder="1"/>
    <xf numFmtId="0" fontId="0" fillId="0" borderId="4" xfId="0" applyBorder="1" applyAlignment="1">
      <alignment horizontal="left"/>
    </xf>
    <xf numFmtId="169" fontId="0" fillId="0" borderId="5" xfId="2" applyNumberFormat="1" applyFont="1" applyBorder="1"/>
    <xf numFmtId="1" fontId="0" fillId="0" borderId="0" xfId="0" applyNumberFormat="1" applyFill="1" applyBorder="1"/>
    <xf numFmtId="1" fontId="0" fillId="0" borderId="0" xfId="1" applyNumberFormat="1" applyFont="1" applyFill="1" applyBorder="1"/>
    <xf numFmtId="1" fontId="0" fillId="0" borderId="0" xfId="0" applyNumberFormat="1"/>
    <xf numFmtId="37" fontId="0" fillId="0" borderId="0" xfId="1" applyNumberFormat="1" applyFont="1" applyFill="1" applyBorder="1"/>
    <xf numFmtId="164" fontId="1" fillId="0" borderId="0" xfId="0" applyNumberFormat="1" applyFont="1"/>
    <xf numFmtId="166" fontId="1" fillId="0" borderId="0" xfId="0" applyNumberFormat="1" applyFont="1" applyBorder="1"/>
    <xf numFmtId="0" fontId="8" fillId="0" borderId="0" xfId="0" applyFont="1" applyFill="1" applyBorder="1"/>
    <xf numFmtId="171" fontId="0" fillId="0" borderId="0" xfId="0" applyNumberFormat="1"/>
    <xf numFmtId="0" fontId="0" fillId="0" borderId="12" xfId="0" applyFill="1" applyBorder="1"/>
    <xf numFmtId="0" fontId="0" fillId="0" borderId="11" xfId="0" applyFill="1" applyBorder="1"/>
    <xf numFmtId="0" fontId="2" fillId="0" borderId="11" xfId="0" applyFont="1" applyFill="1" applyBorder="1" applyAlignment="1">
      <alignment horizontal="right"/>
    </xf>
    <xf numFmtId="0" fontId="0" fillId="0" borderId="0" xfId="0" applyFill="1"/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43" fontId="1" fillId="0" borderId="12" xfId="1" applyFont="1" applyFill="1" applyBorder="1"/>
    <xf numFmtId="166" fontId="1" fillId="0" borderId="12" xfId="1" applyNumberFormat="1" applyFont="1" applyFill="1" applyBorder="1"/>
    <xf numFmtId="164" fontId="1" fillId="0" borderId="11" xfId="0" applyNumberFormat="1" applyFont="1" applyFill="1" applyBorder="1"/>
    <xf numFmtId="43" fontId="1" fillId="0" borderId="11" xfId="0" applyNumberFormat="1" applyFont="1" applyFill="1" applyBorder="1"/>
    <xf numFmtId="164" fontId="1" fillId="0" borderId="12" xfId="0" applyNumberFormat="1" applyFont="1" applyFill="1" applyBorder="1"/>
    <xf numFmtId="43" fontId="1" fillId="0" borderId="12" xfId="0" applyNumberFormat="1" applyFont="1" applyFill="1" applyBorder="1"/>
    <xf numFmtId="164" fontId="1" fillId="0" borderId="13" xfId="0" applyNumberFormat="1" applyFont="1" applyFill="1" applyBorder="1"/>
    <xf numFmtId="43" fontId="1" fillId="0" borderId="13" xfId="0" applyNumberFormat="1" applyFont="1" applyFill="1" applyBorder="1"/>
    <xf numFmtId="0" fontId="0" fillId="0" borderId="0" xfId="0" applyFill="1" applyBorder="1"/>
    <xf numFmtId="0" fontId="0" fillId="0" borderId="13" xfId="0" applyFill="1" applyBorder="1" applyAlignment="1">
      <alignment horizontal="right"/>
    </xf>
    <xf numFmtId="166" fontId="1" fillId="0" borderId="13" xfId="1" applyNumberFormat="1" applyFont="1" applyFill="1" applyBorder="1"/>
    <xf numFmtId="0" fontId="2" fillId="0" borderId="14" xfId="0" applyFont="1" applyFill="1" applyBorder="1" applyAlignment="1">
      <alignment horizontal="right"/>
    </xf>
    <xf numFmtId="43" fontId="2" fillId="0" borderId="15" xfId="1" applyFont="1" applyFill="1" applyBorder="1"/>
    <xf numFmtId="166" fontId="2" fillId="0" borderId="15" xfId="1" applyNumberFormat="1" applyFont="1" applyFill="1" applyBorder="1"/>
    <xf numFmtId="43" fontId="1" fillId="0" borderId="13" xfId="1" applyFont="1" applyFill="1" applyBorder="1"/>
    <xf numFmtId="0" fontId="2" fillId="0" borderId="6" xfId="0" applyFont="1" applyBorder="1" applyAlignment="1">
      <alignment horizontal="right"/>
    </xf>
    <xf numFmtId="43" fontId="2" fillId="0" borderId="7" xfId="1" applyFont="1" applyBorder="1"/>
    <xf numFmtId="166" fontId="2" fillId="0" borderId="8" xfId="0" applyNumberFormat="1" applyFont="1" applyBorder="1"/>
    <xf numFmtId="0" fontId="8" fillId="0" borderId="0" xfId="0" applyFont="1" applyBorder="1"/>
    <xf numFmtId="0" fontId="5" fillId="0" borderId="6" xfId="3" applyFont="1" applyFill="1" applyBorder="1" applyAlignment="1">
      <alignment horizontal="right"/>
    </xf>
    <xf numFmtId="164" fontId="2" fillId="0" borderId="7" xfId="0" applyNumberFormat="1" applyFont="1" applyBorder="1"/>
    <xf numFmtId="43" fontId="2" fillId="0" borderId="7" xfId="0" applyNumberFormat="1" applyFont="1" applyBorder="1"/>
    <xf numFmtId="0" fontId="8" fillId="0" borderId="2" xfId="0" applyFont="1" applyBorder="1"/>
    <xf numFmtId="3" fontId="1" fillId="0" borderId="2" xfId="1" applyNumberFormat="1" applyFont="1" applyBorder="1"/>
    <xf numFmtId="0" fontId="0" fillId="0" borderId="16" xfId="0" applyFill="1" applyBorder="1"/>
    <xf numFmtId="0" fontId="0" fillId="0" borderId="17" xfId="0" applyFill="1" applyBorder="1"/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0" fillId="0" borderId="19" xfId="0" applyFill="1" applyBorder="1"/>
    <xf numFmtId="0" fontId="2" fillId="0" borderId="20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166" fontId="1" fillId="0" borderId="20" xfId="1" applyNumberFormat="1" applyFont="1" applyFill="1" applyBorder="1"/>
    <xf numFmtId="0" fontId="0" fillId="0" borderId="21" xfId="0" applyFill="1" applyBorder="1" applyAlignment="1">
      <alignment horizontal="right"/>
    </xf>
    <xf numFmtId="0" fontId="0" fillId="0" borderId="23" xfId="0" applyFill="1" applyBorder="1" applyAlignment="1">
      <alignment horizontal="right"/>
    </xf>
    <xf numFmtId="166" fontId="2" fillId="0" borderId="24" xfId="1" applyNumberFormat="1" applyFont="1" applyFill="1" applyBorder="1"/>
    <xf numFmtId="0" fontId="0" fillId="0" borderId="25" xfId="0" applyFill="1" applyBorder="1"/>
    <xf numFmtId="0" fontId="2" fillId="0" borderId="26" xfId="0" applyFont="1" applyFill="1" applyBorder="1" applyAlignment="1">
      <alignment horizontal="right"/>
    </xf>
    <xf numFmtId="0" fontId="0" fillId="0" borderId="23" xfId="0" applyFill="1" applyBorder="1"/>
    <xf numFmtId="0" fontId="0" fillId="0" borderId="6" xfId="0" applyFill="1" applyBorder="1"/>
    <xf numFmtId="0" fontId="2" fillId="0" borderId="7" xfId="0" applyFont="1" applyFill="1" applyBorder="1" applyAlignment="1">
      <alignment horizontal="right"/>
    </xf>
    <xf numFmtId="43" fontId="2" fillId="0" borderId="27" xfId="1" applyFont="1" applyFill="1" applyBorder="1"/>
    <xf numFmtId="166" fontId="2" fillId="0" borderId="27" xfId="1" applyNumberFormat="1" applyFont="1" applyFill="1" applyBorder="1"/>
    <xf numFmtId="166" fontId="2" fillId="0" borderId="28" xfId="1" applyNumberFormat="1" applyFont="1" applyFill="1" applyBorder="1"/>
    <xf numFmtId="0" fontId="2" fillId="0" borderId="19" xfId="0" applyFont="1" applyFill="1" applyBorder="1" applyAlignment="1">
      <alignment horizontal="right"/>
    </xf>
    <xf numFmtId="165" fontId="10" fillId="0" borderId="25" xfId="3" applyNumberFormat="1" applyFont="1" applyFill="1" applyBorder="1" applyAlignment="1">
      <alignment horizontal="right"/>
    </xf>
    <xf numFmtId="166" fontId="1" fillId="0" borderId="26" xfId="0" applyNumberFormat="1" applyFont="1" applyFill="1" applyBorder="1"/>
    <xf numFmtId="165" fontId="10" fillId="0" borderId="19" xfId="3" applyNumberFormat="1" applyFont="1" applyFill="1" applyBorder="1" applyAlignment="1">
      <alignment horizontal="right"/>
    </xf>
    <xf numFmtId="166" fontId="1" fillId="0" borderId="20" xfId="0" applyNumberFormat="1" applyFont="1" applyFill="1" applyBorder="1"/>
    <xf numFmtId="165" fontId="10" fillId="0" borderId="21" xfId="3" applyNumberFormat="1" applyFont="1" applyFill="1" applyBorder="1" applyAlignment="1">
      <alignment horizontal="right"/>
    </xf>
    <xf numFmtId="166" fontId="1" fillId="0" borderId="22" xfId="0" applyNumberFormat="1" applyFont="1" applyFill="1" applyBorder="1"/>
    <xf numFmtId="0" fontId="5" fillId="0" borderId="29" xfId="3" applyFont="1" applyFill="1" applyBorder="1" applyAlignment="1">
      <alignment horizontal="right"/>
    </xf>
    <xf numFmtId="164" fontId="2" fillId="0" borderId="30" xfId="0" applyNumberFormat="1" applyFont="1" applyFill="1" applyBorder="1"/>
    <xf numFmtId="43" fontId="2" fillId="0" borderId="30" xfId="0" applyNumberFormat="1" applyFont="1" applyFill="1" applyBorder="1"/>
    <xf numFmtId="166" fontId="2" fillId="0" borderId="31" xfId="0" applyNumberFormat="1" applyFont="1" applyFill="1" applyBorder="1"/>
    <xf numFmtId="0" fontId="0" fillId="0" borderId="6" xfId="0" applyBorder="1"/>
    <xf numFmtId="43" fontId="0" fillId="0" borderId="7" xfId="1" applyFont="1" applyBorder="1"/>
    <xf numFmtId="167" fontId="0" fillId="0" borderId="7" xfId="0" applyNumberFormat="1" applyBorder="1"/>
    <xf numFmtId="43" fontId="0" fillId="0" borderId="8" xfId="1" applyFont="1" applyBorder="1"/>
    <xf numFmtId="0" fontId="2" fillId="0" borderId="6" xfId="0" applyFont="1" applyBorder="1"/>
    <xf numFmtId="0" fontId="8" fillId="0" borderId="0" xfId="0" applyFont="1" applyBorder="1" applyAlignment="1"/>
    <xf numFmtId="170" fontId="0" fillId="0" borderId="2" xfId="0" applyNumberFormat="1" applyBorder="1"/>
    <xf numFmtId="164" fontId="2" fillId="0" borderId="8" xfId="0" applyNumberFormat="1" applyFont="1" applyBorder="1"/>
    <xf numFmtId="3" fontId="2" fillId="0" borderId="2" xfId="1" applyNumberFormat="1" applyFont="1" applyBorder="1"/>
    <xf numFmtId="0" fontId="11" fillId="0" borderId="0" xfId="0" applyFont="1" applyFill="1" applyBorder="1"/>
    <xf numFmtId="0" fontId="11" fillId="0" borderId="0" xfId="0" applyFont="1"/>
    <xf numFmtId="0" fontId="11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43" fontId="0" fillId="0" borderId="0" xfId="0" applyNumberFormat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/>
    <xf numFmtId="43" fontId="0" fillId="2" borderId="0" xfId="0" applyNumberFormat="1" applyFill="1"/>
    <xf numFmtId="168" fontId="0" fillId="0" borderId="0" xfId="0" applyNumberFormat="1"/>
    <xf numFmtId="168" fontId="0" fillId="2" borderId="0" xfId="0" applyNumberFormat="1" applyFill="1"/>
    <xf numFmtId="3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left"/>
    </xf>
    <xf numFmtId="3" fontId="2" fillId="0" borderId="0" xfId="0" applyNumberFormat="1" applyFont="1"/>
    <xf numFmtId="2" fontId="2" fillId="0" borderId="0" xfId="0" applyNumberFormat="1" applyFont="1"/>
    <xf numFmtId="0" fontId="0" fillId="0" borderId="4" xfId="0" applyFont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0" fontId="0" fillId="0" borderId="8" xfId="0" applyNumberFormat="1" applyBorder="1"/>
    <xf numFmtId="0" fontId="0" fillId="0" borderId="4" xfId="0" applyNumberFormat="1" applyFont="1" applyBorder="1" applyAlignment="1">
      <alignment horizontal="left"/>
    </xf>
  </cellXfs>
  <cellStyles count="5">
    <cellStyle name="Comma" xfId="1" builtinId="3"/>
    <cellStyle name="Normal" xfId="0" builtinId="0"/>
    <cellStyle name="Normal_Clm_Tri" xfId="4"/>
    <cellStyle name="Normal_Demographics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topLeftCell="AL1" workbookViewId="0">
      <selection activeCell="AU9" sqref="AU9"/>
    </sheetView>
  </sheetViews>
  <sheetFormatPr defaultRowHeight="15" x14ac:dyDescent="0.25"/>
  <cols>
    <col min="1" max="7" width="10.7109375" customWidth="1"/>
    <col min="8" max="12" width="12" customWidth="1"/>
    <col min="14" max="14" width="27" customWidth="1"/>
    <col min="15" max="16" width="14.7109375" customWidth="1"/>
    <col min="17" max="18" width="3" bestFit="1" customWidth="1"/>
    <col min="21" max="21" width="9.5703125" bestFit="1" customWidth="1"/>
    <col min="28" max="28" width="11.5703125" bestFit="1" customWidth="1"/>
    <col min="30" max="30" width="9.7109375" bestFit="1" customWidth="1"/>
    <col min="35" max="35" width="10.140625" customWidth="1"/>
    <col min="36" max="36" width="11.140625" customWidth="1"/>
    <col min="37" max="37" width="12.42578125" customWidth="1"/>
    <col min="38" max="39" width="11" customWidth="1"/>
    <col min="43" max="43" width="14.85546875" customWidth="1"/>
    <col min="44" max="44" width="14.140625" customWidth="1"/>
    <col min="45" max="45" width="10.140625" customWidth="1"/>
  </cols>
  <sheetData>
    <row r="1" spans="1:48" ht="15.75" thickTop="1" x14ac:dyDescent="0.25">
      <c r="A1" s="15"/>
      <c r="B1" s="16"/>
      <c r="C1" s="16"/>
      <c r="D1" s="16"/>
      <c r="E1" s="17" t="s">
        <v>0</v>
      </c>
      <c r="F1" s="18"/>
      <c r="G1" s="1"/>
      <c r="H1" s="15"/>
      <c r="I1" s="16"/>
      <c r="J1" s="16"/>
      <c r="K1" s="17" t="s">
        <v>0</v>
      </c>
      <c r="L1" s="34"/>
      <c r="S1" s="119"/>
      <c r="T1" s="120"/>
      <c r="U1" s="121"/>
      <c r="V1" s="121" t="s">
        <v>120</v>
      </c>
      <c r="W1" s="121" t="s">
        <v>121</v>
      </c>
      <c r="X1" s="122" t="s">
        <v>122</v>
      </c>
      <c r="Y1" s="91"/>
      <c r="Z1" s="119"/>
      <c r="AA1" s="120"/>
      <c r="AB1" s="121"/>
      <c r="AC1" s="121"/>
      <c r="AD1" s="122" t="s">
        <v>120</v>
      </c>
      <c r="AF1" s="3" t="s">
        <v>148</v>
      </c>
      <c r="AO1" s="3" t="s">
        <v>153</v>
      </c>
    </row>
    <row r="2" spans="1:48" ht="15.75" thickBot="1" x14ac:dyDescent="0.3">
      <c r="A2" s="19"/>
      <c r="B2" s="20"/>
      <c r="C2" s="20"/>
      <c r="D2" s="21" t="s">
        <v>0</v>
      </c>
      <c r="E2" s="21" t="s">
        <v>3</v>
      </c>
      <c r="F2" s="22"/>
      <c r="G2" s="1"/>
      <c r="H2" s="19"/>
      <c r="I2" s="20"/>
      <c r="J2" s="21" t="s">
        <v>0</v>
      </c>
      <c r="K2" s="21" t="s">
        <v>3</v>
      </c>
      <c r="L2" s="22" t="s">
        <v>4</v>
      </c>
      <c r="S2" s="123"/>
      <c r="T2" s="88"/>
      <c r="U2" s="92" t="s">
        <v>0</v>
      </c>
      <c r="V2" s="92" t="s">
        <v>123</v>
      </c>
      <c r="W2" s="92" t="s">
        <v>124</v>
      </c>
      <c r="X2" s="124" t="s">
        <v>125</v>
      </c>
      <c r="Y2" s="91"/>
      <c r="Z2" s="123"/>
      <c r="AA2" s="88"/>
      <c r="AB2" s="92" t="s">
        <v>0</v>
      </c>
      <c r="AC2" s="92" t="s">
        <v>0</v>
      </c>
      <c r="AD2" s="124" t="s">
        <v>128</v>
      </c>
      <c r="AF2" s="165" t="s">
        <v>11</v>
      </c>
      <c r="AG2" s="165" t="s">
        <v>7</v>
      </c>
      <c r="AH2" s="165" t="s">
        <v>8</v>
      </c>
      <c r="AI2" s="165" t="s">
        <v>149</v>
      </c>
      <c r="AJ2" s="165" t="s">
        <v>150</v>
      </c>
      <c r="AK2" s="165" t="s">
        <v>151</v>
      </c>
      <c r="AL2" s="165" t="s">
        <v>152</v>
      </c>
      <c r="AM2" s="165"/>
      <c r="AN2" s="165" t="s">
        <v>157</v>
      </c>
      <c r="AO2" s="165" t="s">
        <v>8</v>
      </c>
      <c r="AP2" s="165" t="s">
        <v>9</v>
      </c>
      <c r="AQ2" s="165" t="s">
        <v>154</v>
      </c>
      <c r="AR2" s="165" t="s">
        <v>109</v>
      </c>
      <c r="AS2" s="165" t="s">
        <v>120</v>
      </c>
      <c r="AT2" s="165" t="s">
        <v>126</v>
      </c>
    </row>
    <row r="3" spans="1:48" ht="15.75" thickTop="1" x14ac:dyDescent="0.25">
      <c r="A3" s="23" t="s">
        <v>7</v>
      </c>
      <c r="B3" s="21" t="s">
        <v>8</v>
      </c>
      <c r="C3" s="21" t="s">
        <v>9</v>
      </c>
      <c r="D3" s="21" t="s">
        <v>3</v>
      </c>
      <c r="E3" s="21" t="s">
        <v>10</v>
      </c>
      <c r="F3" s="22" t="s">
        <v>129</v>
      </c>
      <c r="G3" s="1"/>
      <c r="H3" s="23" t="s">
        <v>11</v>
      </c>
      <c r="I3" s="21" t="s">
        <v>9</v>
      </c>
      <c r="J3" s="21" t="s">
        <v>3</v>
      </c>
      <c r="K3" s="21" t="s">
        <v>10</v>
      </c>
      <c r="L3" s="22" t="s">
        <v>12</v>
      </c>
      <c r="N3" s="15" t="s">
        <v>13</v>
      </c>
      <c r="O3" s="39">
        <f>D22</f>
        <v>38634068.112499997</v>
      </c>
      <c r="P3" s="36"/>
      <c r="R3" s="84"/>
      <c r="S3" s="125" t="s">
        <v>7</v>
      </c>
      <c r="T3" s="93" t="s">
        <v>8</v>
      </c>
      <c r="U3" s="93" t="s">
        <v>10</v>
      </c>
      <c r="V3" s="93" t="s">
        <v>1</v>
      </c>
      <c r="W3" s="93" t="s">
        <v>126</v>
      </c>
      <c r="X3" s="126" t="s">
        <v>126</v>
      </c>
      <c r="Y3" s="91"/>
      <c r="Z3" s="140" t="s">
        <v>11</v>
      </c>
      <c r="AA3" s="92" t="s">
        <v>9</v>
      </c>
      <c r="AB3" s="92" t="s">
        <v>3</v>
      </c>
      <c r="AC3" s="92" t="s">
        <v>10</v>
      </c>
      <c r="AD3" s="126" t="s">
        <v>1</v>
      </c>
      <c r="AF3" s="163" t="s">
        <v>66</v>
      </c>
      <c r="AG3" s="163" t="s">
        <v>64</v>
      </c>
      <c r="AH3" s="164" t="s">
        <v>65</v>
      </c>
      <c r="AI3">
        <v>0</v>
      </c>
      <c r="AJ3" s="166">
        <f ca="1">AC$8*IF(AG3="F",OFFSET(X$4,AI3,0),OFFSET(X$17,AI3,0))*VLOOKUP(AF3,Z$4:AD$7,5,FALSE)</f>
        <v>218.61923108788119</v>
      </c>
      <c r="AK3" s="166">
        <f ca="1">O$7*IF(AG3="F",OFFSET(F$4,AI3,0),OFFSET(F$13,AI3,0))*VLOOKUP(AF3,H$4:L$7,5,FALSE)</f>
        <v>251.93968934626781</v>
      </c>
      <c r="AL3" s="171">
        <f ca="1">ABS(AJ3/AK3-1)</f>
        <v>0.13225569319723474</v>
      </c>
      <c r="AM3" s="171"/>
      <c r="AN3">
        <v>12</v>
      </c>
      <c r="AO3" s="164" t="s">
        <v>65</v>
      </c>
      <c r="AP3" s="173">
        <f>C4+C13</f>
        <v>2400</v>
      </c>
      <c r="AQ3" s="173">
        <f>D4+D13</f>
        <v>4573811.3624999989</v>
      </c>
      <c r="AR3" s="174">
        <f>AQ3/AP3/12</f>
        <v>158.81289453124995</v>
      </c>
      <c r="AS3" s="87">
        <f>AR3/AR$12</f>
        <v>0.3958599881023433</v>
      </c>
      <c r="AT3" s="87">
        <v>0.55320069072649791</v>
      </c>
      <c r="AU3" t="s">
        <v>156</v>
      </c>
    </row>
    <row r="4" spans="1:48" x14ac:dyDescent="0.25">
      <c r="A4" s="24" t="s">
        <v>64</v>
      </c>
      <c r="B4" s="25" t="s">
        <v>65</v>
      </c>
      <c r="C4" s="26">
        <v>1235</v>
      </c>
      <c r="D4" s="26">
        <v>2607903.9375000019</v>
      </c>
      <c r="E4" s="27">
        <f>D4/C4/12</f>
        <v>175.9719256072876</v>
      </c>
      <c r="F4" s="28">
        <v>1.1000000000000001</v>
      </c>
      <c r="G4" s="7"/>
      <c r="H4" s="35" t="s">
        <v>66</v>
      </c>
      <c r="I4" s="36">
        <v>2374</v>
      </c>
      <c r="J4" s="36">
        <v>11838657.1</v>
      </c>
      <c r="K4" s="37">
        <f>J4/I4/12</f>
        <v>415.56645254142092</v>
      </c>
      <c r="L4" s="28">
        <v>0.9</v>
      </c>
      <c r="N4" s="19" t="s">
        <v>67</v>
      </c>
      <c r="O4" s="40">
        <f>E22</f>
        <v>401.18450791796471</v>
      </c>
      <c r="P4" s="27"/>
      <c r="Q4" s="5">
        <v>0</v>
      </c>
      <c r="R4" s="5">
        <v>12</v>
      </c>
      <c r="S4" s="127" t="s">
        <v>64</v>
      </c>
      <c r="T4" s="94" t="s">
        <v>65</v>
      </c>
      <c r="U4" s="95">
        <f>E4</f>
        <v>175.9719256072876</v>
      </c>
      <c r="V4" s="96">
        <f>U4/$U$13</f>
        <v>0.37790952018315166</v>
      </c>
      <c r="W4" s="96">
        <f>GROWTH($V$4:$V$12,$R$4:$R$12,R4)</f>
        <v>0.45502270844514386</v>
      </c>
      <c r="X4" s="128">
        <f>ROUND(W4/W$13*($U$13/$U$27),4)</f>
        <v>0.52610000000000001</v>
      </c>
      <c r="Y4" s="91"/>
      <c r="Z4" s="141" t="s">
        <v>66</v>
      </c>
      <c r="AA4" s="97">
        <f>I4</f>
        <v>2374</v>
      </c>
      <c r="AB4" s="97">
        <f>J4</f>
        <v>11838657.1</v>
      </c>
      <c r="AC4" s="98">
        <f>AB4/(12*AA4)</f>
        <v>415.56645254142092</v>
      </c>
      <c r="AD4" s="142">
        <f>ROUND(AC4/$AC$8,4)</f>
        <v>1.0358000000000001</v>
      </c>
      <c r="AF4" s="163" t="s">
        <v>66</v>
      </c>
      <c r="AG4" s="163" t="s">
        <v>64</v>
      </c>
      <c r="AH4" s="164" t="s">
        <v>72</v>
      </c>
      <c r="AI4">
        <v>1</v>
      </c>
      <c r="AJ4" s="166">
        <f t="shared" ref="AJ4:AJ67" ca="1" si="0">AC$8*IF(AG4="F",OFFSET(X$4,AI4,0),OFFSET(X$17,AI4,0))*VLOOKUP(AF4,Z$4:AD$7,5,FALSE)</f>
        <v>333.80883545503701</v>
      </c>
      <c r="AK4" s="166">
        <f t="shared" ref="AK4:AK67" ca="1" si="1">O$7*IF(AG4="F",OFFSET(F$4,AI4,0),OFFSET(F$13,AI4,0))*VLOOKUP(AF4,H$4:L$7,5,FALSE)</f>
        <v>297.74690559104374</v>
      </c>
      <c r="AL4" s="171">
        <f t="shared" ref="AL4:AL67" ca="1" si="2">ABS(AJ4/AK4-1)</f>
        <v>0.12111605254942415</v>
      </c>
      <c r="AM4" s="171"/>
      <c r="AN4">
        <v>27</v>
      </c>
      <c r="AO4" s="164" t="s">
        <v>72</v>
      </c>
      <c r="AP4" s="173">
        <f t="shared" ref="AP4:AQ11" si="3">C5+C14</f>
        <v>488</v>
      </c>
      <c r="AQ4" s="173">
        <f t="shared" si="3"/>
        <v>1700512.9374999993</v>
      </c>
      <c r="AR4" s="174">
        <f t="shared" ref="AR4:AR12" si="4">AQ4/AP4/12</f>
        <v>290.3881382342895</v>
      </c>
      <c r="AS4" s="87">
        <f t="shared" ref="AS4:AS12" si="5">AR4/AR$12</f>
        <v>0.72382689885340445</v>
      </c>
      <c r="AT4" s="87">
        <f>AT$3*AV$6^(AN4-AN$3)</f>
        <v>0.76916424939740469</v>
      </c>
    </row>
    <row r="5" spans="1:48" x14ac:dyDescent="0.25">
      <c r="A5" s="24" t="s">
        <v>64</v>
      </c>
      <c r="B5" s="25" t="s">
        <v>72</v>
      </c>
      <c r="C5" s="26">
        <v>266</v>
      </c>
      <c r="D5" s="26">
        <v>1351638.9499999993</v>
      </c>
      <c r="E5" s="27">
        <f t="shared" ref="E5:E21" si="6">D5/C5/12</f>
        <v>423.44578634085195</v>
      </c>
      <c r="F5" s="28">
        <v>1.3</v>
      </c>
      <c r="G5" s="7"/>
      <c r="H5" s="35" t="s">
        <v>73</v>
      </c>
      <c r="I5" s="36">
        <v>2506</v>
      </c>
      <c r="J5" s="36">
        <v>12259696.262500001</v>
      </c>
      <c r="K5" s="37">
        <f t="shared" ref="K5:K7" si="7">J5/I5/12</f>
        <v>407.67811460827352</v>
      </c>
      <c r="L5" s="28">
        <v>1</v>
      </c>
      <c r="N5" s="19" t="s">
        <v>74</v>
      </c>
      <c r="O5" s="28">
        <f>F22</f>
        <v>1.6519875389408099</v>
      </c>
      <c r="P5" s="85"/>
      <c r="Q5" s="5">
        <v>25</v>
      </c>
      <c r="R5" s="5">
        <v>27</v>
      </c>
      <c r="S5" s="127" t="s">
        <v>64</v>
      </c>
      <c r="T5" s="94" t="s">
        <v>72</v>
      </c>
      <c r="U5" s="95">
        <f t="shared" ref="U5:U12" si="8">E5</f>
        <v>423.44578634085195</v>
      </c>
      <c r="V5" s="96">
        <f t="shared" ref="V5:V12" si="9">U5/$U$13</f>
        <v>0.90937343208240462</v>
      </c>
      <c r="W5" s="96">
        <f t="shared" ref="W5:W12" si="10">GROWTH($V$4:$V$12,$R$4:$R$12,R5)</f>
        <v>0.69471204885497806</v>
      </c>
      <c r="X5" s="128">
        <f t="shared" ref="X5:X12" si="11">ROUND(W5/W$13*($U$13/$U$27),4)</f>
        <v>0.80330000000000001</v>
      </c>
      <c r="Y5" s="91"/>
      <c r="Z5" s="143" t="s">
        <v>73</v>
      </c>
      <c r="AA5" s="99">
        <f t="shared" ref="AA5:AB7" si="12">I5</f>
        <v>2506</v>
      </c>
      <c r="AB5" s="99">
        <f t="shared" si="12"/>
        <v>12259696.262500001</v>
      </c>
      <c r="AC5" s="100">
        <f t="shared" ref="AC5:AC8" si="13">AB5/(12*AA5)</f>
        <v>407.67811460827352</v>
      </c>
      <c r="AD5" s="144">
        <f t="shared" ref="AD5:AD7" si="14">ROUND(AC5/$AC$8,4)</f>
        <v>1.0162</v>
      </c>
      <c r="AF5" s="163" t="s">
        <v>66</v>
      </c>
      <c r="AG5" s="163" t="s">
        <v>64</v>
      </c>
      <c r="AH5" s="164" t="s">
        <v>79</v>
      </c>
      <c r="AI5">
        <v>2</v>
      </c>
      <c r="AJ5" s="166">
        <f t="shared" ca="1" si="0"/>
        <v>384.33934011249062</v>
      </c>
      <c r="AK5" s="166">
        <f t="shared" ca="1" si="1"/>
        <v>286.29510152984977</v>
      </c>
      <c r="AL5" s="171">
        <f t="shared" ca="1" si="2"/>
        <v>0.34245866610616305</v>
      </c>
      <c r="AM5" s="171"/>
      <c r="AN5">
        <v>32</v>
      </c>
      <c r="AO5" s="164" t="s">
        <v>79</v>
      </c>
      <c r="AP5" s="173">
        <f t="shared" si="3"/>
        <v>577</v>
      </c>
      <c r="AQ5" s="173">
        <f t="shared" si="3"/>
        <v>2487141.9625000013</v>
      </c>
      <c r="AR5" s="174">
        <f t="shared" si="4"/>
        <v>359.20594490179104</v>
      </c>
      <c r="AS5" s="87">
        <f t="shared" si="5"/>
        <v>0.89536344951595803</v>
      </c>
      <c r="AT5" s="87">
        <f t="shared" ref="AT5:AT10" si="15">AT$3*AV$6^(AN5-AN$3)</f>
        <v>0.85848204339083756</v>
      </c>
      <c r="AV5" t="s">
        <v>158</v>
      </c>
    </row>
    <row r="6" spans="1:48" x14ac:dyDescent="0.25">
      <c r="A6" s="24" t="s">
        <v>64</v>
      </c>
      <c r="B6" s="25" t="s">
        <v>79</v>
      </c>
      <c r="C6" s="26">
        <v>324</v>
      </c>
      <c r="D6" s="26">
        <v>1753776.600000001</v>
      </c>
      <c r="E6" s="27">
        <f t="shared" si="6"/>
        <v>451.07422839506199</v>
      </c>
      <c r="F6" s="28">
        <v>1.25</v>
      </c>
      <c r="G6" s="7"/>
      <c r="H6" s="35" t="s">
        <v>80</v>
      </c>
      <c r="I6" s="36">
        <v>1665</v>
      </c>
      <c r="J6" s="36">
        <v>7962983.174999997</v>
      </c>
      <c r="K6" s="37">
        <f t="shared" si="7"/>
        <v>398.5477064564563</v>
      </c>
      <c r="L6" s="28">
        <v>1.1000000000000001</v>
      </c>
      <c r="N6" s="19" t="s">
        <v>81</v>
      </c>
      <c r="O6" s="28">
        <f>L8</f>
        <v>0.95428037383177577</v>
      </c>
      <c r="P6" s="85"/>
      <c r="Q6" s="5">
        <v>30</v>
      </c>
      <c r="R6" s="5">
        <v>32</v>
      </c>
      <c r="S6" s="127" t="s">
        <v>64</v>
      </c>
      <c r="T6" s="94" t="s">
        <v>79</v>
      </c>
      <c r="U6" s="95">
        <f t="shared" si="8"/>
        <v>451.07422839506199</v>
      </c>
      <c r="V6" s="96">
        <f t="shared" si="9"/>
        <v>0.96870705160200665</v>
      </c>
      <c r="W6" s="96">
        <f t="shared" si="10"/>
        <v>0.79994860343456597</v>
      </c>
      <c r="X6" s="128">
        <f t="shared" si="11"/>
        <v>0.92490000000000006</v>
      </c>
      <c r="Y6" s="91"/>
      <c r="Z6" s="143" t="s">
        <v>80</v>
      </c>
      <c r="AA6" s="99">
        <f t="shared" si="12"/>
        <v>1665</v>
      </c>
      <c r="AB6" s="99">
        <f t="shared" si="12"/>
        <v>7962983.174999997</v>
      </c>
      <c r="AC6" s="100">
        <f t="shared" si="13"/>
        <v>398.5477064564563</v>
      </c>
      <c r="AD6" s="144">
        <f t="shared" si="14"/>
        <v>0.99339999999999995</v>
      </c>
      <c r="AF6" s="163" t="s">
        <v>66</v>
      </c>
      <c r="AG6" s="163" t="s">
        <v>64</v>
      </c>
      <c r="AH6" s="164" t="s">
        <v>85</v>
      </c>
      <c r="AI6">
        <v>3</v>
      </c>
      <c r="AJ6" s="166">
        <f t="shared" ca="1" si="0"/>
        <v>442.5990173573507</v>
      </c>
      <c r="AK6" s="166">
        <f t="shared" ca="1" si="1"/>
        <v>274.84329746865575</v>
      </c>
      <c r="AL6" s="171">
        <f t="shared" ca="1" si="2"/>
        <v>0.61036860434199425</v>
      </c>
      <c r="AM6" s="171"/>
      <c r="AN6">
        <v>37</v>
      </c>
      <c r="AO6" s="164" t="s">
        <v>85</v>
      </c>
      <c r="AP6" s="173">
        <f t="shared" si="3"/>
        <v>730</v>
      </c>
      <c r="AQ6" s="173">
        <f t="shared" si="3"/>
        <v>2864008.3624999998</v>
      </c>
      <c r="AR6" s="174">
        <f t="shared" si="4"/>
        <v>326.94159389269402</v>
      </c>
      <c r="AS6" s="87">
        <f t="shared" si="5"/>
        <v>0.81494072537703255</v>
      </c>
      <c r="AT6" s="87">
        <f t="shared" si="15"/>
        <v>0.95817170312049438</v>
      </c>
      <c r="AV6">
        <f>(AT11/AT3)^(1/50)</f>
        <v>1.0222154132784771</v>
      </c>
    </row>
    <row r="7" spans="1:48" ht="15.75" thickBot="1" x14ac:dyDescent="0.3">
      <c r="A7" s="24" t="s">
        <v>64</v>
      </c>
      <c r="B7" s="25" t="s">
        <v>85</v>
      </c>
      <c r="C7" s="26">
        <v>378</v>
      </c>
      <c r="D7" s="26">
        <v>1864076.0999999994</v>
      </c>
      <c r="E7" s="27">
        <f t="shared" si="6"/>
        <v>410.95152116402102</v>
      </c>
      <c r="F7" s="28">
        <v>1.2</v>
      </c>
      <c r="G7" s="7"/>
      <c r="H7" s="35" t="s">
        <v>86</v>
      </c>
      <c r="I7" s="36">
        <v>1480</v>
      </c>
      <c r="J7" s="36">
        <v>6572731.5749999993</v>
      </c>
      <c r="K7" s="37">
        <f t="shared" si="7"/>
        <v>370.08623733108107</v>
      </c>
      <c r="L7" s="28">
        <v>0.8</v>
      </c>
      <c r="N7" s="19" t="s">
        <v>87</v>
      </c>
      <c r="O7" s="40">
        <f>O4/O5/O6</f>
        <v>254.48453469319978</v>
      </c>
      <c r="P7" s="27"/>
      <c r="Q7" s="5">
        <v>35</v>
      </c>
      <c r="R7" s="5">
        <v>37</v>
      </c>
      <c r="S7" s="127" t="s">
        <v>64</v>
      </c>
      <c r="T7" s="94" t="s">
        <v>85</v>
      </c>
      <c r="U7" s="95">
        <f t="shared" si="8"/>
        <v>410.95152116402102</v>
      </c>
      <c r="V7" s="96">
        <f t="shared" si="9"/>
        <v>0.88254130109490525</v>
      </c>
      <c r="W7" s="96">
        <f t="shared" si="10"/>
        <v>0.92112662964694902</v>
      </c>
      <c r="X7" s="128">
        <f t="shared" si="11"/>
        <v>1.0650999999999999</v>
      </c>
      <c r="Y7" s="91"/>
      <c r="Z7" s="145" t="s">
        <v>86</v>
      </c>
      <c r="AA7" s="101">
        <f t="shared" si="12"/>
        <v>1480</v>
      </c>
      <c r="AB7" s="101">
        <f t="shared" si="12"/>
        <v>6572731.5749999993</v>
      </c>
      <c r="AC7" s="102">
        <f t="shared" si="13"/>
        <v>370.08623733108107</v>
      </c>
      <c r="AD7" s="146">
        <f t="shared" si="14"/>
        <v>0.92249999999999999</v>
      </c>
      <c r="AF7" s="163" t="s">
        <v>66</v>
      </c>
      <c r="AG7" s="163" t="s">
        <v>64</v>
      </c>
      <c r="AH7" s="164" t="s">
        <v>91</v>
      </c>
      <c r="AI7">
        <v>4</v>
      </c>
      <c r="AJ7" s="166">
        <f t="shared" ca="1" si="0"/>
        <v>509.62673447287108</v>
      </c>
      <c r="AK7" s="166">
        <f t="shared" ca="1" si="1"/>
        <v>343.55412183581973</v>
      </c>
      <c r="AL7" s="171">
        <f t="shared" ca="1" si="2"/>
        <v>0.48339577982538473</v>
      </c>
      <c r="AM7" s="171"/>
      <c r="AN7">
        <v>42</v>
      </c>
      <c r="AO7" s="164" t="s">
        <v>91</v>
      </c>
      <c r="AP7" s="173">
        <f t="shared" si="3"/>
        <v>748</v>
      </c>
      <c r="AQ7" s="173">
        <f t="shared" si="3"/>
        <v>2713392</v>
      </c>
      <c r="AR7" s="174">
        <f t="shared" si="4"/>
        <v>302.29411764705884</v>
      </c>
      <c r="AS7" s="87">
        <f t="shared" si="5"/>
        <v>0.75350396558401689</v>
      </c>
      <c r="AT7" s="87">
        <f t="shared" si="15"/>
        <v>1.0694376425563186</v>
      </c>
    </row>
    <row r="8" spans="1:48" ht="17.25" thickTop="1" thickBot="1" x14ac:dyDescent="0.3">
      <c r="A8" s="24" t="s">
        <v>64</v>
      </c>
      <c r="B8" s="25" t="s">
        <v>91</v>
      </c>
      <c r="C8" s="26">
        <v>377</v>
      </c>
      <c r="D8" s="26">
        <v>1705236.0625000007</v>
      </c>
      <c r="E8" s="27">
        <f t="shared" si="6"/>
        <v>376.93104829796653</v>
      </c>
      <c r="F8" s="28">
        <v>1.5</v>
      </c>
      <c r="G8" s="7"/>
      <c r="H8" s="114" t="s">
        <v>92</v>
      </c>
      <c r="I8" s="115">
        <f>SUM(I4:I7)</f>
        <v>8025</v>
      </c>
      <c r="J8" s="115">
        <f>SUM(J4:J7)</f>
        <v>38634068.112499997</v>
      </c>
      <c r="K8" s="116">
        <f>J8/I8/12</f>
        <v>401.18450791796471</v>
      </c>
      <c r="L8" s="112">
        <f>SUMPRODUCT(I4:I7,L4:L7)/I8</f>
        <v>0.95428037383177577</v>
      </c>
      <c r="N8" s="117" t="s">
        <v>132</v>
      </c>
      <c r="O8" s="118"/>
      <c r="P8" s="26"/>
      <c r="Q8" s="5">
        <v>40</v>
      </c>
      <c r="R8" s="5">
        <v>42</v>
      </c>
      <c r="S8" s="127" t="s">
        <v>64</v>
      </c>
      <c r="T8" s="94" t="s">
        <v>91</v>
      </c>
      <c r="U8" s="95">
        <f t="shared" si="8"/>
        <v>376.93104829796653</v>
      </c>
      <c r="V8" s="96">
        <f t="shared" si="9"/>
        <v>0.80948043906906997</v>
      </c>
      <c r="W8" s="96">
        <f t="shared" si="10"/>
        <v>1.0606609777201157</v>
      </c>
      <c r="X8" s="128">
        <f t="shared" si="11"/>
        <v>1.2263999999999999</v>
      </c>
      <c r="Y8" s="91"/>
      <c r="Z8" s="147" t="s">
        <v>92</v>
      </c>
      <c r="AA8" s="148">
        <f>SUM(AA4:AA7)</f>
        <v>8025</v>
      </c>
      <c r="AB8" s="148">
        <f>SUM(AB4:AB7)</f>
        <v>38634068.112499997</v>
      </c>
      <c r="AC8" s="149">
        <f t="shared" si="13"/>
        <v>401.18450791796465</v>
      </c>
      <c r="AD8" s="150">
        <f>SUMPRODUCT(AA4:AA7,AD4:AD7)/AA8</f>
        <v>0.99998721495327114</v>
      </c>
      <c r="AF8" s="163" t="s">
        <v>66</v>
      </c>
      <c r="AG8" s="163" t="s">
        <v>64</v>
      </c>
      <c r="AH8" s="164" t="s">
        <v>97</v>
      </c>
      <c r="AI8">
        <v>5</v>
      </c>
      <c r="AJ8" s="166">
        <f t="shared" ca="1" si="0"/>
        <v>586.83535096427624</v>
      </c>
      <c r="AK8" s="166">
        <f t="shared" ca="1" si="1"/>
        <v>412.26494620298365</v>
      </c>
      <c r="AL8" s="171">
        <f t="shared" ca="1" si="2"/>
        <v>0.42344227024176995</v>
      </c>
      <c r="AM8" s="171"/>
      <c r="AN8">
        <v>47</v>
      </c>
      <c r="AO8" s="164" t="s">
        <v>97</v>
      </c>
      <c r="AP8" s="173">
        <f t="shared" si="3"/>
        <v>760</v>
      </c>
      <c r="AQ8" s="173">
        <f t="shared" si="3"/>
        <v>4231829.6625000052</v>
      </c>
      <c r="AR8" s="174">
        <f t="shared" si="4"/>
        <v>464.01641036184265</v>
      </c>
      <c r="AS8" s="87">
        <f t="shared" si="5"/>
        <v>1.1566159739566164</v>
      </c>
      <c r="AT8" s="87">
        <f t="shared" si="15"/>
        <v>1.1936241360412951</v>
      </c>
    </row>
    <row r="9" spans="1:48" ht="16.5" thickTop="1" x14ac:dyDescent="0.25">
      <c r="A9" s="24" t="s">
        <v>64</v>
      </c>
      <c r="B9" s="25" t="s">
        <v>97</v>
      </c>
      <c r="C9" s="26">
        <v>427</v>
      </c>
      <c r="D9" s="26">
        <v>2982828.7875000043</v>
      </c>
      <c r="E9" s="27">
        <f t="shared" si="6"/>
        <v>582.1289593091343</v>
      </c>
      <c r="F9" s="28">
        <v>1.8</v>
      </c>
      <c r="G9" s="7"/>
      <c r="H9" s="117" t="s">
        <v>138</v>
      </c>
      <c r="I9" s="16"/>
      <c r="J9" s="16"/>
      <c r="K9" s="16"/>
      <c r="L9" s="16"/>
      <c r="N9" s="160" t="s">
        <v>139</v>
      </c>
      <c r="O9" s="6"/>
      <c r="P9" s="6"/>
      <c r="Q9" s="5">
        <v>45</v>
      </c>
      <c r="R9" s="5">
        <v>47</v>
      </c>
      <c r="S9" s="127" t="s">
        <v>64</v>
      </c>
      <c r="T9" s="94" t="s">
        <v>97</v>
      </c>
      <c r="U9" s="95">
        <f t="shared" si="8"/>
        <v>582.1289593091343</v>
      </c>
      <c r="V9" s="96">
        <f t="shared" si="9"/>
        <v>1.2501543921738032</v>
      </c>
      <c r="W9" s="96">
        <f t="shared" si="10"/>
        <v>1.2213323048638642</v>
      </c>
      <c r="X9" s="128">
        <f t="shared" si="11"/>
        <v>1.4121999999999999</v>
      </c>
      <c r="Y9" s="91"/>
      <c r="Z9" s="86" t="s">
        <v>141</v>
      </c>
      <c r="AA9" s="103"/>
      <c r="AB9" s="103"/>
      <c r="AC9" s="103"/>
      <c r="AD9" s="103"/>
      <c r="AF9" s="163" t="s">
        <v>66</v>
      </c>
      <c r="AG9" s="163" t="s">
        <v>64</v>
      </c>
      <c r="AH9" s="164" t="s">
        <v>100</v>
      </c>
      <c r="AI9">
        <v>6</v>
      </c>
      <c r="AJ9" s="166">
        <f t="shared" ca="1" si="0"/>
        <v>675.72083571945177</v>
      </c>
      <c r="AK9" s="166">
        <f t="shared" ca="1" si="1"/>
        <v>572.59020305969955</v>
      </c>
      <c r="AL9" s="171">
        <f t="shared" ca="1" si="2"/>
        <v>0.1801124645665646</v>
      </c>
      <c r="AM9" s="171"/>
      <c r="AN9">
        <v>52</v>
      </c>
      <c r="AO9" s="164" t="s">
        <v>100</v>
      </c>
      <c r="AP9" s="173">
        <f t="shared" si="3"/>
        <v>867</v>
      </c>
      <c r="AQ9" s="173">
        <f t="shared" si="3"/>
        <v>5752934.1750000007</v>
      </c>
      <c r="AR9" s="174">
        <f t="shared" si="4"/>
        <v>552.95407295271059</v>
      </c>
      <c r="AS9" s="87">
        <f t="shared" si="5"/>
        <v>1.3783036534047326</v>
      </c>
      <c r="AT9" s="87">
        <f t="shared" si="15"/>
        <v>1.3322315593218885</v>
      </c>
    </row>
    <row r="10" spans="1:48" x14ac:dyDescent="0.25">
      <c r="A10" s="24" t="s">
        <v>64</v>
      </c>
      <c r="B10" s="25" t="s">
        <v>100</v>
      </c>
      <c r="C10" s="26">
        <v>488</v>
      </c>
      <c r="D10" s="26">
        <v>3493257.9499999983</v>
      </c>
      <c r="E10" s="27">
        <f t="shared" si="6"/>
        <v>596.52628927595595</v>
      </c>
      <c r="F10" s="28">
        <v>2.5</v>
      </c>
      <c r="G10" s="7"/>
      <c r="Q10" s="5">
        <v>50</v>
      </c>
      <c r="R10" s="5">
        <v>52</v>
      </c>
      <c r="S10" s="127" t="s">
        <v>64</v>
      </c>
      <c r="T10" s="94" t="s">
        <v>100</v>
      </c>
      <c r="U10" s="95">
        <f t="shared" si="8"/>
        <v>596.52628927595595</v>
      </c>
      <c r="V10" s="96">
        <f t="shared" si="9"/>
        <v>1.2810734608883343</v>
      </c>
      <c r="W10" s="96">
        <f t="shared" si="10"/>
        <v>1.4063424885399081</v>
      </c>
      <c r="X10" s="128">
        <f t="shared" si="11"/>
        <v>1.6261000000000001</v>
      </c>
      <c r="Y10" s="91"/>
      <c r="Z10" s="91"/>
      <c r="AA10" s="91"/>
      <c r="AB10" s="91"/>
      <c r="AC10" s="91"/>
      <c r="AD10" s="91"/>
      <c r="AF10" s="163" t="s">
        <v>66</v>
      </c>
      <c r="AG10" s="163" t="s">
        <v>64</v>
      </c>
      <c r="AH10" s="164" t="s">
        <v>104</v>
      </c>
      <c r="AI10">
        <v>7</v>
      </c>
      <c r="AJ10" s="166">
        <f t="shared" ca="1" si="0"/>
        <v>778.07004046559348</v>
      </c>
      <c r="AK10" s="166">
        <f t="shared" ca="1" si="1"/>
        <v>687.10824367163946</v>
      </c>
      <c r="AL10" s="171">
        <f t="shared" ca="1" si="2"/>
        <v>0.13238350380995212</v>
      </c>
      <c r="AM10" s="171"/>
      <c r="AN10">
        <v>57</v>
      </c>
      <c r="AO10" s="164" t="s">
        <v>104</v>
      </c>
      <c r="AP10" s="173">
        <f t="shared" si="3"/>
        <v>867</v>
      </c>
      <c r="AQ10" s="173">
        <f t="shared" si="3"/>
        <v>7635950.5749999909</v>
      </c>
      <c r="AR10" s="174">
        <f t="shared" si="4"/>
        <v>733.94373077662351</v>
      </c>
      <c r="AS10" s="87">
        <f t="shared" si="5"/>
        <v>1.8294418560317447</v>
      </c>
      <c r="AT10" s="87">
        <f t="shared" si="15"/>
        <v>1.4869345165384846</v>
      </c>
    </row>
    <row r="11" spans="1:48" x14ac:dyDescent="0.25">
      <c r="A11" s="24" t="s">
        <v>64</v>
      </c>
      <c r="B11" s="25" t="s">
        <v>104</v>
      </c>
      <c r="C11" s="26">
        <v>453</v>
      </c>
      <c r="D11" s="26">
        <v>5186072.6749999924</v>
      </c>
      <c r="E11" s="27">
        <f t="shared" si="6"/>
        <v>954.02367089771758</v>
      </c>
      <c r="F11" s="28">
        <v>3</v>
      </c>
      <c r="G11" s="7"/>
      <c r="O11" s="6"/>
      <c r="P11" s="6"/>
      <c r="Q11" s="5">
        <v>55</v>
      </c>
      <c r="R11" s="5">
        <v>57</v>
      </c>
      <c r="S11" s="127" t="s">
        <v>64</v>
      </c>
      <c r="T11" s="94" t="s">
        <v>104</v>
      </c>
      <c r="U11" s="95">
        <f t="shared" si="8"/>
        <v>954.02367089771758</v>
      </c>
      <c r="V11" s="96">
        <f t="shared" si="9"/>
        <v>2.0488190173978209</v>
      </c>
      <c r="W11" s="96">
        <f t="shared" si="10"/>
        <v>1.6193784338596333</v>
      </c>
      <c r="X11" s="128">
        <f t="shared" si="11"/>
        <v>1.8724000000000001</v>
      </c>
      <c r="Y11" s="91"/>
      <c r="Z11" s="91"/>
      <c r="AA11" s="91"/>
      <c r="AB11" s="91"/>
      <c r="AC11" s="91"/>
      <c r="AD11" s="91"/>
      <c r="AF11" s="163" t="s">
        <v>66</v>
      </c>
      <c r="AG11" s="163" t="s">
        <v>64</v>
      </c>
      <c r="AH11" s="164" t="s">
        <v>106</v>
      </c>
      <c r="AI11">
        <v>8</v>
      </c>
      <c r="AJ11" s="166">
        <f t="shared" ca="1" si="0"/>
        <v>895.96069976920842</v>
      </c>
      <c r="AK11" s="166">
        <f t="shared" ca="1" si="1"/>
        <v>801.62628428357937</v>
      </c>
      <c r="AL11" s="171">
        <f t="shared" ca="1" si="2"/>
        <v>0.1176787953877243</v>
      </c>
      <c r="AM11" s="171"/>
      <c r="AN11">
        <v>62</v>
      </c>
      <c r="AO11" s="164" t="s">
        <v>106</v>
      </c>
      <c r="AP11" s="173">
        <f t="shared" si="3"/>
        <v>588</v>
      </c>
      <c r="AQ11" s="173">
        <f t="shared" si="3"/>
        <v>6674487.0749999993</v>
      </c>
      <c r="AR11" s="174">
        <f t="shared" si="4"/>
        <v>945.93070790816319</v>
      </c>
      <c r="AS11" s="87">
        <f t="shared" si="5"/>
        <v>2.3578445559059067</v>
      </c>
      <c r="AT11" s="87">
        <f>3*AT3</f>
        <v>1.6596020721794937</v>
      </c>
      <c r="AU11" t="s">
        <v>155</v>
      </c>
    </row>
    <row r="12" spans="1:48" x14ac:dyDescent="0.25">
      <c r="A12" s="24" t="s">
        <v>64</v>
      </c>
      <c r="B12" s="25" t="s">
        <v>106</v>
      </c>
      <c r="C12" s="26">
        <v>311</v>
      </c>
      <c r="D12" s="26">
        <v>2853427.0124999983</v>
      </c>
      <c r="E12" s="27">
        <f t="shared" si="6"/>
        <v>764.58387258842401</v>
      </c>
      <c r="F12" s="28">
        <v>3.5</v>
      </c>
      <c r="G12" s="7"/>
      <c r="O12" s="6"/>
      <c r="P12" s="6"/>
      <c r="Q12" s="5">
        <v>60</v>
      </c>
      <c r="R12" s="5">
        <v>62</v>
      </c>
      <c r="S12" s="129" t="s">
        <v>64</v>
      </c>
      <c r="T12" s="104" t="s">
        <v>106</v>
      </c>
      <c r="U12" s="95">
        <f t="shared" si="8"/>
        <v>764.58387258842401</v>
      </c>
      <c r="V12" s="105">
        <f t="shared" si="9"/>
        <v>1.6419864897909666</v>
      </c>
      <c r="W12" s="105">
        <f t="shared" si="10"/>
        <v>1.8646855466709906</v>
      </c>
      <c r="X12" s="128">
        <f t="shared" si="11"/>
        <v>2.1560999999999999</v>
      </c>
      <c r="Y12" s="91"/>
      <c r="Z12" s="91"/>
      <c r="AA12" s="91"/>
      <c r="AB12" s="91"/>
      <c r="AC12" s="91"/>
      <c r="AD12" s="91"/>
      <c r="AF12" s="163" t="s">
        <v>66</v>
      </c>
      <c r="AG12" s="163" t="s">
        <v>108</v>
      </c>
      <c r="AH12" s="164" t="s">
        <v>65</v>
      </c>
      <c r="AI12">
        <f>AI3</f>
        <v>0</v>
      </c>
      <c r="AJ12" s="166">
        <f t="shared" ca="1" si="0"/>
        <v>108.41618968034251</v>
      </c>
      <c r="AK12" s="166">
        <f t="shared" ca="1" si="1"/>
        <v>171.77706091790986</v>
      </c>
      <c r="AL12" s="171">
        <f t="shared" ca="1" si="2"/>
        <v>0.36885525284337428</v>
      </c>
      <c r="AM12" s="171"/>
      <c r="AO12" s="175" t="s">
        <v>92</v>
      </c>
      <c r="AP12" s="176">
        <f>SUM(AP3:AP11)</f>
        <v>8025</v>
      </c>
      <c r="AQ12" s="176">
        <f>SUM(AQ3:AQ11)</f>
        <v>38634068.112499997</v>
      </c>
      <c r="AR12" s="177">
        <f t="shared" si="4"/>
        <v>401.18450791796471</v>
      </c>
      <c r="AS12" s="87">
        <f t="shared" si="5"/>
        <v>1</v>
      </c>
      <c r="AT12" s="87">
        <f>SUMPRODUCT(AT3:AT11,AP3:AP11)/AP12</f>
        <v>1</v>
      </c>
    </row>
    <row r="13" spans="1:48" x14ac:dyDescent="0.25">
      <c r="A13" s="24" t="s">
        <v>108</v>
      </c>
      <c r="B13" s="25" t="s">
        <v>65</v>
      </c>
      <c r="C13" s="26">
        <v>1165</v>
      </c>
      <c r="D13" s="26">
        <v>1965907.424999997</v>
      </c>
      <c r="E13" s="27">
        <f t="shared" si="6"/>
        <v>140.62284871244614</v>
      </c>
      <c r="F13" s="28">
        <v>0.75</v>
      </c>
      <c r="G13" s="7"/>
      <c r="O13" s="6"/>
      <c r="P13" s="6"/>
      <c r="Q13" s="6"/>
      <c r="R13" s="6"/>
      <c r="S13" s="130"/>
      <c r="T13" s="106" t="s">
        <v>127</v>
      </c>
      <c r="U13" s="107">
        <f>SUMPRODUCT(C4:C12,U4:U12)/SUM(C4:C12)</f>
        <v>465.64565381153625</v>
      </c>
      <c r="V13" s="108">
        <f>U13/$U$13</f>
        <v>1</v>
      </c>
      <c r="W13" s="108">
        <f>SUMPRODUCT($C4:$C12,W4:W12)/SUM($C4:$C12)</f>
        <v>1.0038235539287261</v>
      </c>
      <c r="X13" s="131">
        <f>SUMPRODUCT($C4:$C12,X4:X12)/SUM($C4:$C12)</f>
        <v>1.1606785630429679</v>
      </c>
      <c r="Y13" s="91"/>
      <c r="Z13" s="91"/>
      <c r="AA13" s="91"/>
      <c r="AB13" s="91"/>
      <c r="AC13" s="91"/>
      <c r="AD13" s="91"/>
      <c r="AF13" s="163" t="s">
        <v>66</v>
      </c>
      <c r="AG13" s="163" t="s">
        <v>108</v>
      </c>
      <c r="AH13" s="164" t="s">
        <v>72</v>
      </c>
      <c r="AI13">
        <f t="shared" ref="AI13:AI74" si="16">AI4</f>
        <v>1</v>
      </c>
      <c r="AJ13" s="166">
        <f t="shared" ca="1" si="0"/>
        <v>195.47326801699163</v>
      </c>
      <c r="AK13" s="166">
        <f t="shared" ca="1" si="1"/>
        <v>183.22886497910386</v>
      </c>
      <c r="AL13" s="171">
        <f t="shared" ca="1" si="2"/>
        <v>6.6825732066201349E-2</v>
      </c>
      <c r="AM13" s="171"/>
    </row>
    <row r="14" spans="1:48" x14ac:dyDescent="0.25">
      <c r="A14" s="24" t="s">
        <v>108</v>
      </c>
      <c r="B14" s="25" t="s">
        <v>72</v>
      </c>
      <c r="C14" s="26">
        <v>222</v>
      </c>
      <c r="D14" s="26">
        <v>348873.98750000005</v>
      </c>
      <c r="E14" s="27">
        <f t="shared" si="6"/>
        <v>130.95870401651652</v>
      </c>
      <c r="F14" s="28">
        <v>0.8</v>
      </c>
      <c r="G14" s="7"/>
      <c r="O14" s="6"/>
      <c r="P14" s="6"/>
      <c r="Q14" s="6"/>
      <c r="R14" s="6"/>
      <c r="S14" s="132"/>
      <c r="T14" s="89"/>
      <c r="U14" s="90"/>
      <c r="V14" s="90" t="s">
        <v>120</v>
      </c>
      <c r="W14" s="90" t="s">
        <v>121</v>
      </c>
      <c r="X14" s="133" t="s">
        <v>122</v>
      </c>
      <c r="Y14" s="91"/>
      <c r="Z14" s="91"/>
      <c r="AA14" s="91"/>
      <c r="AB14" s="91"/>
      <c r="AC14" s="91"/>
      <c r="AD14" s="91"/>
      <c r="AF14" s="163" t="s">
        <v>66</v>
      </c>
      <c r="AG14" s="163" t="s">
        <v>108</v>
      </c>
      <c r="AH14" s="164" t="s">
        <v>79</v>
      </c>
      <c r="AI14">
        <f t="shared" si="16"/>
        <v>2</v>
      </c>
      <c r="AJ14" s="166">
        <f t="shared" ca="1" si="0"/>
        <v>237.90060786506743</v>
      </c>
      <c r="AK14" s="166">
        <f t="shared" ca="1" si="1"/>
        <v>194.68066904029783</v>
      </c>
      <c r="AL14" s="171">
        <f t="shared" ca="1" si="2"/>
        <v>0.2220042649217695</v>
      </c>
      <c r="AM14" s="171"/>
    </row>
    <row r="15" spans="1:48" x14ac:dyDescent="0.25">
      <c r="A15" s="24" t="s">
        <v>108</v>
      </c>
      <c r="B15" s="25" t="s">
        <v>79</v>
      </c>
      <c r="C15" s="26">
        <v>253</v>
      </c>
      <c r="D15" s="26">
        <v>733365.36250000051</v>
      </c>
      <c r="E15" s="27">
        <f t="shared" si="6"/>
        <v>241.55644351119909</v>
      </c>
      <c r="F15" s="28">
        <v>0.85</v>
      </c>
      <c r="G15" s="7"/>
      <c r="O15" s="6"/>
      <c r="P15" s="6"/>
      <c r="Q15" s="6"/>
      <c r="R15" s="6"/>
      <c r="S15" s="123"/>
      <c r="T15" s="88"/>
      <c r="U15" s="92" t="s">
        <v>0</v>
      </c>
      <c r="V15" s="92" t="s">
        <v>123</v>
      </c>
      <c r="W15" s="92" t="s">
        <v>124</v>
      </c>
      <c r="X15" s="124" t="s">
        <v>125</v>
      </c>
      <c r="Y15" s="91"/>
      <c r="Z15" s="91"/>
      <c r="AA15" s="91"/>
      <c r="AB15" s="91"/>
      <c r="AC15" s="91"/>
      <c r="AD15" s="91"/>
      <c r="AF15" s="163" t="s">
        <v>66</v>
      </c>
      <c r="AG15" s="163" t="s">
        <v>108</v>
      </c>
      <c r="AH15" s="164" t="s">
        <v>85</v>
      </c>
      <c r="AI15">
        <f t="shared" si="16"/>
        <v>3</v>
      </c>
      <c r="AJ15" s="166">
        <f t="shared" ca="1" si="0"/>
        <v>289.55308918843485</v>
      </c>
      <c r="AK15" s="166">
        <f t="shared" ca="1" si="1"/>
        <v>206.13247310149183</v>
      </c>
      <c r="AL15" s="171">
        <f t="shared" ca="1" si="2"/>
        <v>0.40469419898663839</v>
      </c>
      <c r="AM15" s="171"/>
    </row>
    <row r="16" spans="1:48" x14ac:dyDescent="0.25">
      <c r="A16" s="24" t="s">
        <v>108</v>
      </c>
      <c r="B16" s="25" t="s">
        <v>85</v>
      </c>
      <c r="C16" s="26">
        <v>352</v>
      </c>
      <c r="D16" s="26">
        <v>999932.26250000054</v>
      </c>
      <c r="E16" s="27">
        <f t="shared" si="6"/>
        <v>236.72638790246222</v>
      </c>
      <c r="F16" s="28">
        <v>0.9</v>
      </c>
      <c r="G16" s="7"/>
      <c r="O16" s="6"/>
      <c r="P16" s="6"/>
      <c r="S16" s="125" t="s">
        <v>7</v>
      </c>
      <c r="T16" s="93" t="s">
        <v>8</v>
      </c>
      <c r="U16" s="93" t="s">
        <v>10</v>
      </c>
      <c r="V16" s="93" t="s">
        <v>1</v>
      </c>
      <c r="W16" s="93" t="s">
        <v>126</v>
      </c>
      <c r="X16" s="126" t="s">
        <v>126</v>
      </c>
      <c r="Y16" s="91"/>
      <c r="Z16" s="91"/>
      <c r="AA16" s="91"/>
      <c r="AB16" s="91"/>
      <c r="AC16" s="91"/>
      <c r="AD16" s="91"/>
      <c r="AF16" s="163" t="s">
        <v>66</v>
      </c>
      <c r="AG16" s="163" t="s">
        <v>108</v>
      </c>
      <c r="AH16" s="164" t="s">
        <v>91</v>
      </c>
      <c r="AI16">
        <f t="shared" si="16"/>
        <v>4</v>
      </c>
      <c r="AJ16" s="166">
        <f t="shared" ca="1" si="0"/>
        <v>352.42533717094091</v>
      </c>
      <c r="AK16" s="166">
        <f t="shared" ca="1" si="1"/>
        <v>229.03608122387979</v>
      </c>
      <c r="AL16" s="171">
        <f t="shared" ca="1" si="2"/>
        <v>0.5387328288526283</v>
      </c>
      <c r="AM16" s="171"/>
    </row>
    <row r="17" spans="1:39" x14ac:dyDescent="0.25">
      <c r="A17" s="24" t="s">
        <v>108</v>
      </c>
      <c r="B17" s="25" t="s">
        <v>91</v>
      </c>
      <c r="C17" s="26">
        <v>371</v>
      </c>
      <c r="D17" s="26">
        <v>1008155.9374999993</v>
      </c>
      <c r="E17" s="27">
        <f t="shared" si="6"/>
        <v>226.45012073225499</v>
      </c>
      <c r="F17" s="28">
        <v>1</v>
      </c>
      <c r="G17" s="7"/>
      <c r="O17" s="6"/>
      <c r="P17" s="6"/>
      <c r="Q17" s="5">
        <v>0</v>
      </c>
      <c r="R17" s="5">
        <v>12</v>
      </c>
      <c r="S17" s="127" t="s">
        <v>108</v>
      </c>
      <c r="T17" s="94" t="s">
        <v>65</v>
      </c>
      <c r="U17" s="95">
        <f>E13</f>
        <v>140.62284871244614</v>
      </c>
      <c r="V17" s="96">
        <f>U17/$U$26</f>
        <v>0.42835616179386488</v>
      </c>
      <c r="W17" s="96">
        <f>GROWTH($V$17:$V$25,$R$17:$R$25,R17)</f>
        <v>0.29575900328629567</v>
      </c>
      <c r="X17" s="128">
        <f>ROUND(W17/W$26*($U$26/$U$27),4)</f>
        <v>0.26090000000000002</v>
      </c>
      <c r="Y17" s="91"/>
      <c r="Z17" s="91"/>
      <c r="AA17" s="91"/>
      <c r="AB17" s="91"/>
      <c r="AC17" s="91"/>
      <c r="AD17" s="91"/>
      <c r="AF17" s="163" t="s">
        <v>66</v>
      </c>
      <c r="AG17" s="163" t="s">
        <v>108</v>
      </c>
      <c r="AH17" s="164" t="s">
        <v>97</v>
      </c>
      <c r="AI17">
        <f t="shared" si="16"/>
        <v>5</v>
      </c>
      <c r="AJ17" s="166">
        <f t="shared" ca="1" si="0"/>
        <v>428.96907860106393</v>
      </c>
      <c r="AK17" s="166">
        <f t="shared" ca="1" si="1"/>
        <v>274.84329746865575</v>
      </c>
      <c r="AL17" s="171">
        <f t="shared" ca="1" si="2"/>
        <v>0.56077693198971068</v>
      </c>
      <c r="AM17" s="171"/>
    </row>
    <row r="18" spans="1:39" x14ac:dyDescent="0.25">
      <c r="A18" s="24" t="s">
        <v>108</v>
      </c>
      <c r="B18" s="25" t="s">
        <v>97</v>
      </c>
      <c r="C18" s="26">
        <v>333</v>
      </c>
      <c r="D18" s="26">
        <v>1249000.8750000005</v>
      </c>
      <c r="E18" s="27">
        <f t="shared" si="6"/>
        <v>312.56278153153164</v>
      </c>
      <c r="F18" s="28">
        <v>1.2</v>
      </c>
      <c r="G18" s="7"/>
      <c r="O18" s="13"/>
      <c r="P18" s="13"/>
      <c r="Q18" s="5">
        <v>25</v>
      </c>
      <c r="R18" s="5">
        <v>27</v>
      </c>
      <c r="S18" s="127" t="s">
        <v>108</v>
      </c>
      <c r="T18" s="94" t="s">
        <v>72</v>
      </c>
      <c r="U18" s="95">
        <f t="shared" ref="U18:U25" si="17">E14</f>
        <v>130.95870401651652</v>
      </c>
      <c r="V18" s="96">
        <f t="shared" ref="V18:V26" si="18">U18/$U$26</f>
        <v>0.3989178737285019</v>
      </c>
      <c r="W18" s="96">
        <f t="shared" ref="W18:W25" si="19">GROWTH($V$17:$V$25,$R$17:$R$25,R18)</f>
        <v>0.53326183861818344</v>
      </c>
      <c r="X18" s="128">
        <f t="shared" ref="X18:X25" si="20">ROUND(W18/W$26*($U$26/$U$27),4)</f>
        <v>0.47039999999999998</v>
      </c>
      <c r="Y18" s="91"/>
      <c r="Z18" s="91"/>
      <c r="AA18" s="91"/>
      <c r="AB18" s="91"/>
      <c r="AC18" s="91"/>
      <c r="AD18" s="91"/>
      <c r="AF18" s="163" t="s">
        <v>66</v>
      </c>
      <c r="AG18" s="163" t="s">
        <v>108</v>
      </c>
      <c r="AH18" s="164" t="s">
        <v>100</v>
      </c>
      <c r="AI18">
        <f t="shared" si="16"/>
        <v>6</v>
      </c>
      <c r="AJ18" s="166">
        <f t="shared" ca="1" si="0"/>
        <v>522.09314187191387</v>
      </c>
      <c r="AK18" s="166">
        <f t="shared" ca="1" si="1"/>
        <v>572.59020305969955</v>
      </c>
      <c r="AL18" s="171">
        <f t="shared" ca="1" si="2"/>
        <v>8.8190578389132357E-2</v>
      </c>
      <c r="AM18" s="171"/>
    </row>
    <row r="19" spans="1:39" x14ac:dyDescent="0.25">
      <c r="A19" s="24" t="s">
        <v>108</v>
      </c>
      <c r="B19" s="25" t="s">
        <v>100</v>
      </c>
      <c r="C19" s="26">
        <v>379</v>
      </c>
      <c r="D19" s="26">
        <v>2259676.225000002</v>
      </c>
      <c r="E19" s="27">
        <f t="shared" si="6"/>
        <v>496.85053320140764</v>
      </c>
      <c r="F19" s="28">
        <v>2.5</v>
      </c>
      <c r="G19" s="7"/>
      <c r="O19" s="13"/>
      <c r="P19" s="13"/>
      <c r="Q19" s="5">
        <v>30</v>
      </c>
      <c r="R19" s="5">
        <v>32</v>
      </c>
      <c r="S19" s="127" t="s">
        <v>108</v>
      </c>
      <c r="T19" s="94" t="s">
        <v>79</v>
      </c>
      <c r="U19" s="95">
        <f t="shared" si="17"/>
        <v>241.55644351119909</v>
      </c>
      <c r="V19" s="96">
        <f t="shared" si="18"/>
        <v>0.7358135036122031</v>
      </c>
      <c r="W19" s="96">
        <f t="shared" si="19"/>
        <v>0.64904481222915644</v>
      </c>
      <c r="X19" s="128">
        <f t="shared" si="20"/>
        <v>0.57250000000000001</v>
      </c>
      <c r="Y19" s="91"/>
      <c r="Z19" s="91"/>
      <c r="AA19" s="91"/>
      <c r="AB19" s="91"/>
      <c r="AC19" s="91"/>
      <c r="AD19" s="91"/>
      <c r="AF19" s="163" t="s">
        <v>66</v>
      </c>
      <c r="AG19" s="163" t="s">
        <v>108</v>
      </c>
      <c r="AH19" s="164" t="s">
        <v>104</v>
      </c>
      <c r="AI19">
        <f t="shared" si="16"/>
        <v>7</v>
      </c>
      <c r="AJ19" s="166">
        <f t="shared" ca="1" si="0"/>
        <v>635.4543398205434</v>
      </c>
      <c r="AK19" s="166">
        <f t="shared" ca="1" si="1"/>
        <v>710.01185179402739</v>
      </c>
      <c r="AL19" s="171">
        <f t="shared" ca="1" si="2"/>
        <v>0.10500882736688877</v>
      </c>
      <c r="AM19" s="171"/>
    </row>
    <row r="20" spans="1:39" x14ac:dyDescent="0.25">
      <c r="A20" s="24" t="s">
        <v>108</v>
      </c>
      <c r="B20" s="25" t="s">
        <v>104</v>
      </c>
      <c r="C20" s="26">
        <v>414</v>
      </c>
      <c r="D20" s="26">
        <v>2449877.8999999985</v>
      </c>
      <c r="E20" s="27">
        <f t="shared" si="6"/>
        <v>493.13162238325253</v>
      </c>
      <c r="F20" s="28">
        <v>3.1</v>
      </c>
      <c r="G20" s="7"/>
      <c r="Q20" s="5">
        <v>35</v>
      </c>
      <c r="R20" s="5">
        <v>37</v>
      </c>
      <c r="S20" s="127" t="s">
        <v>108</v>
      </c>
      <c r="T20" s="94" t="s">
        <v>85</v>
      </c>
      <c r="U20" s="95">
        <f t="shared" si="17"/>
        <v>236.72638790246222</v>
      </c>
      <c r="V20" s="96">
        <f t="shared" si="18"/>
        <v>0.72110050283919047</v>
      </c>
      <c r="W20" s="96">
        <f t="shared" si="19"/>
        <v>0.78996683762927844</v>
      </c>
      <c r="X20" s="128">
        <f t="shared" si="20"/>
        <v>0.69679999999999997</v>
      </c>
      <c r="Y20" s="91"/>
      <c r="Z20" s="91"/>
      <c r="AA20" s="91"/>
      <c r="AB20" s="91"/>
      <c r="AC20" s="91"/>
      <c r="AD20" s="91"/>
      <c r="AF20" s="163" t="s">
        <v>66</v>
      </c>
      <c r="AG20" s="163" t="s">
        <v>108</v>
      </c>
      <c r="AH20" s="164" t="s">
        <v>106</v>
      </c>
      <c r="AI20">
        <f t="shared" si="16"/>
        <v>8</v>
      </c>
      <c r="AJ20" s="166">
        <f t="shared" ca="1" si="0"/>
        <v>773.41591503661743</v>
      </c>
      <c r="AK20" s="166">
        <f t="shared" ca="1" si="1"/>
        <v>916.14432489551916</v>
      </c>
      <c r="AL20" s="171">
        <f t="shared" ca="1" si="2"/>
        <v>0.15579249467618439</v>
      </c>
      <c r="AM20" s="171"/>
    </row>
    <row r="21" spans="1:39" x14ac:dyDescent="0.25">
      <c r="A21" s="24" t="s">
        <v>108</v>
      </c>
      <c r="B21" s="25" t="s">
        <v>106</v>
      </c>
      <c r="C21" s="26">
        <v>277</v>
      </c>
      <c r="D21" s="26">
        <v>3821060.0625000005</v>
      </c>
      <c r="E21" s="27">
        <f t="shared" si="6"/>
        <v>1149.5367215703973</v>
      </c>
      <c r="F21" s="28">
        <v>4</v>
      </c>
      <c r="G21" s="7"/>
      <c r="Q21" s="5">
        <v>40</v>
      </c>
      <c r="R21" s="5">
        <v>42</v>
      </c>
      <c r="S21" s="127" t="s">
        <v>108</v>
      </c>
      <c r="T21" s="94" t="s">
        <v>91</v>
      </c>
      <c r="U21" s="95">
        <f t="shared" si="17"/>
        <v>226.45012073225499</v>
      </c>
      <c r="V21" s="96">
        <f t="shared" si="18"/>
        <v>0.6897976071653904</v>
      </c>
      <c r="W21" s="96">
        <f t="shared" si="19"/>
        <v>0.96148616057911229</v>
      </c>
      <c r="X21" s="128">
        <f t="shared" si="20"/>
        <v>0.84809999999999997</v>
      </c>
      <c r="Y21" s="91"/>
      <c r="Z21" s="91"/>
      <c r="AA21" s="91"/>
      <c r="AB21" s="91"/>
      <c r="AC21" s="91"/>
      <c r="AD21" s="91"/>
      <c r="AF21" s="163" t="s">
        <v>73</v>
      </c>
      <c r="AG21" s="163" t="s">
        <v>64</v>
      </c>
      <c r="AH21" s="164" t="s">
        <v>65</v>
      </c>
      <c r="AI21">
        <f t="shared" si="16"/>
        <v>0</v>
      </c>
      <c r="AJ21" s="166">
        <f t="shared" ca="1" si="0"/>
        <v>214.48239296341461</v>
      </c>
      <c r="AK21" s="166">
        <f t="shared" ca="1" si="1"/>
        <v>279.93298816251979</v>
      </c>
      <c r="AL21" s="171">
        <f t="shared" ca="1" si="2"/>
        <v>0.23380808252976149</v>
      </c>
      <c r="AM21" s="171"/>
    </row>
    <row r="22" spans="1:39" ht="15.75" thickBot="1" x14ac:dyDescent="0.3">
      <c r="A22" s="110" t="s">
        <v>92</v>
      </c>
      <c r="B22" s="32"/>
      <c r="C22" s="33">
        <f>SUM(C4:C21)</f>
        <v>8025</v>
      </c>
      <c r="D22" s="33">
        <f>SUM(D4:D21)</f>
        <v>38634068.112499997</v>
      </c>
      <c r="E22" s="111">
        <f>D22/C22/12</f>
        <v>401.18450791796471</v>
      </c>
      <c r="F22" s="112">
        <f>SUMPRODUCT(C4:C21,F4:F21)/C22</f>
        <v>1.6519875389408099</v>
      </c>
      <c r="G22" s="10"/>
      <c r="Q22" s="5">
        <v>45</v>
      </c>
      <c r="R22" s="5">
        <v>47</v>
      </c>
      <c r="S22" s="127" t="s">
        <v>108</v>
      </c>
      <c r="T22" s="94" t="s">
        <v>97</v>
      </c>
      <c r="U22" s="95">
        <f t="shared" si="17"/>
        <v>312.56278153153164</v>
      </c>
      <c r="V22" s="96">
        <f t="shared" si="18"/>
        <v>0.95210838524714891</v>
      </c>
      <c r="W22" s="96">
        <f t="shared" si="19"/>
        <v>1.1702461330648899</v>
      </c>
      <c r="X22" s="128">
        <f t="shared" si="20"/>
        <v>1.0323</v>
      </c>
      <c r="Y22" s="91"/>
      <c r="Z22" s="91"/>
      <c r="AA22" s="91"/>
      <c r="AB22" s="91"/>
      <c r="AC22" s="91"/>
      <c r="AD22" s="91"/>
      <c r="AF22" s="163" t="s">
        <v>73</v>
      </c>
      <c r="AG22" s="163" t="s">
        <v>64</v>
      </c>
      <c r="AH22" s="164" t="s">
        <v>72</v>
      </c>
      <c r="AI22">
        <f t="shared" si="16"/>
        <v>1</v>
      </c>
      <c r="AJ22" s="166">
        <f t="shared" ca="1" si="0"/>
        <v>327.49231375691113</v>
      </c>
      <c r="AK22" s="166">
        <f t="shared" ca="1" si="1"/>
        <v>330.82989510115971</v>
      </c>
      <c r="AL22" s="171">
        <f t="shared" ca="1" si="2"/>
        <v>1.008851193217597E-2</v>
      </c>
      <c r="AM22" s="171"/>
    </row>
    <row r="23" spans="1:39" ht="16.5" thickTop="1" x14ac:dyDescent="0.25">
      <c r="A23" s="113" t="s">
        <v>137</v>
      </c>
      <c r="B23" s="29"/>
      <c r="C23" s="30"/>
      <c r="D23" s="30"/>
      <c r="E23" s="30"/>
      <c r="F23" s="159"/>
      <c r="G23" s="13"/>
      <c r="Q23" s="5">
        <v>50</v>
      </c>
      <c r="R23" s="5">
        <v>52</v>
      </c>
      <c r="S23" s="127" t="s">
        <v>108</v>
      </c>
      <c r="T23" s="94" t="s">
        <v>100</v>
      </c>
      <c r="U23" s="95">
        <f t="shared" si="17"/>
        <v>496.85053320140764</v>
      </c>
      <c r="V23" s="96">
        <f t="shared" si="18"/>
        <v>1.5134737301659662</v>
      </c>
      <c r="W23" s="96">
        <f t="shared" si="19"/>
        <v>1.4243325261473125</v>
      </c>
      <c r="X23" s="128">
        <f t="shared" si="20"/>
        <v>1.2564</v>
      </c>
      <c r="Y23" s="91"/>
      <c r="Z23" s="91"/>
      <c r="AA23" s="91"/>
      <c r="AB23" s="91"/>
      <c r="AC23" s="91"/>
      <c r="AD23" s="91"/>
      <c r="AF23" s="163" t="s">
        <v>73</v>
      </c>
      <c r="AG23" s="163" t="s">
        <v>64</v>
      </c>
      <c r="AH23" s="164" t="s">
        <v>79</v>
      </c>
      <c r="AI23">
        <f t="shared" si="16"/>
        <v>2</v>
      </c>
      <c r="AJ23" s="166">
        <f t="shared" ca="1" si="0"/>
        <v>377.06665130557343</v>
      </c>
      <c r="AK23" s="166">
        <f t="shared" ca="1" si="1"/>
        <v>318.10566836649974</v>
      </c>
      <c r="AL23" s="171">
        <f t="shared" ca="1" si="2"/>
        <v>0.18535030589628732</v>
      </c>
      <c r="AM23" s="171"/>
    </row>
    <row r="24" spans="1:39" x14ac:dyDescent="0.25">
      <c r="B24" s="20"/>
      <c r="C24" s="20"/>
      <c r="D24" s="20"/>
      <c r="E24" s="20"/>
      <c r="F24" s="20"/>
      <c r="Q24" s="5">
        <v>55</v>
      </c>
      <c r="R24" s="5">
        <v>57</v>
      </c>
      <c r="S24" s="127" t="s">
        <v>108</v>
      </c>
      <c r="T24" s="94" t="s">
        <v>104</v>
      </c>
      <c r="U24" s="95">
        <f t="shared" si="17"/>
        <v>493.13162238325253</v>
      </c>
      <c r="V24" s="96">
        <f t="shared" si="18"/>
        <v>1.5021454262757776</v>
      </c>
      <c r="W24" s="96">
        <f t="shared" si="19"/>
        <v>1.7335867111373682</v>
      </c>
      <c r="X24" s="128">
        <f t="shared" si="20"/>
        <v>1.5291999999999999</v>
      </c>
      <c r="Y24" s="91"/>
      <c r="Z24" s="91"/>
      <c r="AA24" s="91"/>
      <c r="AB24" s="91"/>
      <c r="AC24" s="91"/>
      <c r="AD24" s="91"/>
      <c r="AF24" s="163" t="s">
        <v>73</v>
      </c>
      <c r="AG24" s="163" t="s">
        <v>64</v>
      </c>
      <c r="AH24" s="164" t="s">
        <v>85</v>
      </c>
      <c r="AI24">
        <f t="shared" si="16"/>
        <v>3</v>
      </c>
      <c r="AJ24" s="166">
        <f t="shared" ca="1" si="0"/>
        <v>434.22390561743561</v>
      </c>
      <c r="AK24" s="166">
        <f t="shared" ca="1" si="1"/>
        <v>305.38144163183972</v>
      </c>
      <c r="AL24" s="171">
        <f t="shared" ca="1" si="2"/>
        <v>0.42190665974039487</v>
      </c>
      <c r="AM24" s="171"/>
    </row>
    <row r="25" spans="1:39" x14ac:dyDescent="0.25">
      <c r="Q25" s="5">
        <v>60</v>
      </c>
      <c r="R25" s="5">
        <v>62</v>
      </c>
      <c r="S25" s="129" t="s">
        <v>108</v>
      </c>
      <c r="T25" s="104" t="s">
        <v>106</v>
      </c>
      <c r="U25" s="109">
        <f t="shared" si="17"/>
        <v>1149.5367215703973</v>
      </c>
      <c r="V25" s="105">
        <f t="shared" si="18"/>
        <v>3.501643882210844</v>
      </c>
      <c r="W25" s="105">
        <f t="shared" si="19"/>
        <v>2.1099868393521817</v>
      </c>
      <c r="X25" s="128">
        <f t="shared" si="20"/>
        <v>1.8612</v>
      </c>
      <c r="Y25" s="91"/>
      <c r="Z25" s="91"/>
      <c r="AA25" s="91"/>
      <c r="AB25" s="91"/>
      <c r="AC25" s="91"/>
      <c r="AD25" s="91"/>
      <c r="AF25" s="163" t="s">
        <v>73</v>
      </c>
      <c r="AG25" s="163" t="s">
        <v>64</v>
      </c>
      <c r="AH25" s="164" t="s">
        <v>91</v>
      </c>
      <c r="AI25">
        <f t="shared" si="16"/>
        <v>4</v>
      </c>
      <c r="AJ25" s="166">
        <f t="shared" ca="1" si="0"/>
        <v>499.98328593486343</v>
      </c>
      <c r="AK25" s="166">
        <f t="shared" ca="1" si="1"/>
        <v>381.72680203979968</v>
      </c>
      <c r="AL25" s="171">
        <f t="shared" ca="1" si="2"/>
        <v>0.30979350483944823</v>
      </c>
      <c r="AM25" s="171"/>
    </row>
    <row r="26" spans="1:39" x14ac:dyDescent="0.25">
      <c r="R26" s="6"/>
      <c r="S26" s="134"/>
      <c r="T26" s="106" t="s">
        <v>127</v>
      </c>
      <c r="U26" s="107">
        <f>SUMPRODUCT(C13:C21,U17:U25)/SUM(C13:C21)</f>
        <v>328.28487425871833</v>
      </c>
      <c r="V26" s="108">
        <f t="shared" si="18"/>
        <v>1</v>
      </c>
      <c r="W26" s="108">
        <f>SUMPRODUCT($C13:$C21,W17:W25)/SUM($C13:$C21)</f>
        <v>0.92767303227508457</v>
      </c>
      <c r="X26" s="131">
        <f>SUMPRODUCT($C13:$C21,X17:X25)/SUM($C13:$C21)</f>
        <v>0.81829824747742963</v>
      </c>
      <c r="Y26" s="91"/>
      <c r="Z26" s="91"/>
      <c r="AA26" s="91"/>
      <c r="AB26" s="91"/>
      <c r="AC26" s="91"/>
      <c r="AD26" s="91"/>
      <c r="AF26" s="163" t="s">
        <v>73</v>
      </c>
      <c r="AG26" s="163" t="s">
        <v>64</v>
      </c>
      <c r="AH26" s="164" t="s">
        <v>97</v>
      </c>
      <c r="AI26">
        <f t="shared" si="16"/>
        <v>5</v>
      </c>
      <c r="AJ26" s="166">
        <f t="shared" ca="1" si="0"/>
        <v>575.73091682747395</v>
      </c>
      <c r="AK26" s="166">
        <f t="shared" ca="1" si="1"/>
        <v>458.07216244775958</v>
      </c>
      <c r="AL26" s="171">
        <f t="shared" ca="1" si="2"/>
        <v>0.2568563733517264</v>
      </c>
      <c r="AM26" s="171"/>
    </row>
    <row r="27" spans="1:39" ht="15.75" thickBot="1" x14ac:dyDescent="0.3">
      <c r="S27" s="135"/>
      <c r="T27" s="136" t="s">
        <v>92</v>
      </c>
      <c r="U27" s="137">
        <f>(U13*SUM(C4:C12)+U26*SUM(C13:C21))/C22</f>
        <v>401.18450791796465</v>
      </c>
      <c r="V27" s="138"/>
      <c r="W27" s="138"/>
      <c r="X27" s="139">
        <f>(X13*SUM(C4:C12)+SUM(C13:C21)*X26)/C22</f>
        <v>1.0000051339563862</v>
      </c>
      <c r="Y27" s="91"/>
      <c r="Z27" s="91"/>
      <c r="AA27" s="91"/>
      <c r="AB27" s="91"/>
      <c r="AC27" s="91"/>
      <c r="AD27" s="91"/>
      <c r="AF27" s="163" t="s">
        <v>73</v>
      </c>
      <c r="AG27" s="163" t="s">
        <v>64</v>
      </c>
      <c r="AH27" s="164" t="s">
        <v>100</v>
      </c>
      <c r="AI27">
        <f t="shared" si="16"/>
        <v>6</v>
      </c>
      <c r="AJ27" s="166">
        <f t="shared" ca="1" si="0"/>
        <v>662.9344596042738</v>
      </c>
      <c r="AK27" s="166">
        <f t="shared" ca="1" si="1"/>
        <v>636.21133673299948</v>
      </c>
      <c r="AL27" s="171">
        <f t="shared" ca="1" si="2"/>
        <v>4.2003531418506102E-2</v>
      </c>
      <c r="AM27" s="171"/>
    </row>
    <row r="28" spans="1:39" ht="16.5" thickTop="1" x14ac:dyDescent="0.25">
      <c r="S28" s="86" t="s">
        <v>140</v>
      </c>
      <c r="T28" s="103"/>
      <c r="U28" s="103"/>
      <c r="V28" s="103"/>
      <c r="W28" s="103"/>
      <c r="X28" s="103"/>
      <c r="Y28" s="91"/>
      <c r="Z28" s="91"/>
      <c r="AA28" s="91"/>
      <c r="AB28" s="91"/>
      <c r="AC28" s="91"/>
      <c r="AD28" s="91"/>
      <c r="AF28" s="163" t="s">
        <v>73</v>
      </c>
      <c r="AG28" s="163" t="s">
        <v>64</v>
      </c>
      <c r="AH28" s="164" t="s">
        <v>104</v>
      </c>
      <c r="AI28">
        <f t="shared" si="16"/>
        <v>7</v>
      </c>
      <c r="AJ28" s="166">
        <f t="shared" ca="1" si="0"/>
        <v>763.34695416213174</v>
      </c>
      <c r="AK28" s="166">
        <f t="shared" ca="1" si="1"/>
        <v>763.45360407959936</v>
      </c>
      <c r="AL28" s="171">
        <f t="shared" ca="1" si="2"/>
        <v>1.396940389012391E-4</v>
      </c>
      <c r="AM28" s="171"/>
    </row>
    <row r="29" spans="1:39" x14ac:dyDescent="0.25"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F29" s="163" t="s">
        <v>73</v>
      </c>
      <c r="AG29" s="163" t="s">
        <v>64</v>
      </c>
      <c r="AH29" s="164" t="s">
        <v>106</v>
      </c>
      <c r="AI29">
        <f t="shared" si="16"/>
        <v>8</v>
      </c>
      <c r="AJ29" s="166">
        <f t="shared" ca="1" si="0"/>
        <v>879.00681898577875</v>
      </c>
      <c r="AK29" s="166">
        <f t="shared" ca="1" si="1"/>
        <v>890.69587142619923</v>
      </c>
      <c r="AL29" s="171">
        <f t="shared" ca="1" si="2"/>
        <v>1.3123505806424962E-2</v>
      </c>
      <c r="AM29" s="171"/>
    </row>
    <row r="30" spans="1:39" x14ac:dyDescent="0.25"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F30" s="163" t="s">
        <v>73</v>
      </c>
      <c r="AG30" s="163" t="s">
        <v>108</v>
      </c>
      <c r="AH30" s="164" t="s">
        <v>65</v>
      </c>
      <c r="AI30">
        <f t="shared" si="16"/>
        <v>0</v>
      </c>
      <c r="AJ30" s="166">
        <f t="shared" ca="1" si="0"/>
        <v>106.36467653327288</v>
      </c>
      <c r="AK30" s="166">
        <f t="shared" ca="1" si="1"/>
        <v>190.86340101989984</v>
      </c>
      <c r="AL30" s="171">
        <f t="shared" ca="1" si="2"/>
        <v>0.44271832124492494</v>
      </c>
      <c r="AM30" s="171"/>
    </row>
    <row r="31" spans="1:39" x14ac:dyDescent="0.25">
      <c r="AF31" s="163" t="s">
        <v>73</v>
      </c>
      <c r="AG31" s="163" t="s">
        <v>108</v>
      </c>
      <c r="AH31" s="164" t="s">
        <v>72</v>
      </c>
      <c r="AI31">
        <f t="shared" si="16"/>
        <v>1</v>
      </c>
      <c r="AJ31" s="166">
        <f t="shared" ca="1" si="0"/>
        <v>191.77441104350925</v>
      </c>
      <c r="AK31" s="166">
        <f t="shared" ca="1" si="1"/>
        <v>203.58762775455983</v>
      </c>
      <c r="AL31" s="171">
        <f t="shared" ca="1" si="2"/>
        <v>5.8025219122314731E-2</v>
      </c>
      <c r="AM31" s="171"/>
    </row>
    <row r="32" spans="1:39" x14ac:dyDescent="0.25">
      <c r="AF32" s="163" t="s">
        <v>73</v>
      </c>
      <c r="AG32" s="163" t="s">
        <v>108</v>
      </c>
      <c r="AH32" s="164" t="s">
        <v>79</v>
      </c>
      <c r="AI32">
        <f t="shared" si="16"/>
        <v>2</v>
      </c>
      <c r="AJ32" s="166">
        <f t="shared" ca="1" si="0"/>
        <v>233.39891650171992</v>
      </c>
      <c r="AK32" s="166">
        <f t="shared" ca="1" si="1"/>
        <v>216.3118544892198</v>
      </c>
      <c r="AL32" s="171">
        <f t="shared" ca="1" si="2"/>
        <v>7.8992721193427151E-2</v>
      </c>
      <c r="AM32" s="171"/>
    </row>
    <row r="33" spans="32:39" x14ac:dyDescent="0.25">
      <c r="AF33" s="163" t="s">
        <v>73</v>
      </c>
      <c r="AG33" s="163" t="s">
        <v>108</v>
      </c>
      <c r="AH33" s="164" t="s">
        <v>85</v>
      </c>
      <c r="AI33">
        <f t="shared" si="16"/>
        <v>3</v>
      </c>
      <c r="AJ33" s="166">
        <f t="shared" ca="1" si="0"/>
        <v>284.07400003213701</v>
      </c>
      <c r="AK33" s="166">
        <f t="shared" ca="1" si="1"/>
        <v>229.03608122387979</v>
      </c>
      <c r="AL33" s="171">
        <f t="shared" ca="1" si="2"/>
        <v>0.24030239477621151</v>
      </c>
      <c r="AM33" s="171"/>
    </row>
    <row r="34" spans="32:39" x14ac:dyDescent="0.25">
      <c r="AF34" s="163" t="s">
        <v>73</v>
      </c>
      <c r="AG34" s="163" t="s">
        <v>108</v>
      </c>
      <c r="AH34" s="164" t="s">
        <v>91</v>
      </c>
      <c r="AI34">
        <f t="shared" si="16"/>
        <v>4</v>
      </c>
      <c r="AJ34" s="166">
        <f t="shared" ca="1" si="0"/>
        <v>345.75654338010241</v>
      </c>
      <c r="AK34" s="166">
        <f t="shared" ca="1" si="1"/>
        <v>254.48453469319978</v>
      </c>
      <c r="AL34" s="171">
        <f t="shared" ca="1" si="2"/>
        <v>0.35865444160266113</v>
      </c>
      <c r="AM34" s="171"/>
    </row>
    <row r="35" spans="32:39" x14ac:dyDescent="0.25">
      <c r="AF35" s="163" t="s">
        <v>73</v>
      </c>
      <c r="AG35" s="163" t="s">
        <v>108</v>
      </c>
      <c r="AH35" s="164" t="s">
        <v>97</v>
      </c>
      <c r="AI35">
        <f t="shared" si="16"/>
        <v>5</v>
      </c>
      <c r="AJ35" s="166">
        <f t="shared" ca="1" si="0"/>
        <v>420.8518803575991</v>
      </c>
      <c r="AK35" s="166">
        <f t="shared" ca="1" si="1"/>
        <v>305.38144163183972</v>
      </c>
      <c r="AL35" s="171">
        <f t="shared" ca="1" si="2"/>
        <v>0.37811871641161376</v>
      </c>
      <c r="AM35" s="171"/>
    </row>
    <row r="36" spans="32:39" x14ac:dyDescent="0.25">
      <c r="AF36" s="163" t="s">
        <v>73</v>
      </c>
      <c r="AG36" s="163" t="s">
        <v>108</v>
      </c>
      <c r="AH36" s="164" t="s">
        <v>100</v>
      </c>
      <c r="AI36">
        <f t="shared" si="16"/>
        <v>6</v>
      </c>
      <c r="AJ36" s="166">
        <f t="shared" ca="1" si="0"/>
        <v>512.21379684325052</v>
      </c>
      <c r="AK36" s="166">
        <f t="shared" ca="1" si="1"/>
        <v>636.21133673299948</v>
      </c>
      <c r="AL36" s="171">
        <f t="shared" ca="1" si="2"/>
        <v>0.19489992197637829</v>
      </c>
      <c r="AM36" s="171"/>
    </row>
    <row r="37" spans="32:39" x14ac:dyDescent="0.25">
      <c r="AF37" s="163" t="s">
        <v>73</v>
      </c>
      <c r="AG37" s="163" t="s">
        <v>108</v>
      </c>
      <c r="AH37" s="164" t="s">
        <v>104</v>
      </c>
      <c r="AI37">
        <f t="shared" si="16"/>
        <v>7</v>
      </c>
      <c r="AJ37" s="166">
        <f t="shared" ca="1" si="0"/>
        <v>623.42990937018362</v>
      </c>
      <c r="AK37" s="166">
        <f t="shared" ca="1" si="1"/>
        <v>788.90205754891929</v>
      </c>
      <c r="AL37" s="171">
        <f t="shared" ca="1" si="2"/>
        <v>0.209749925983017</v>
      </c>
      <c r="AM37" s="171"/>
    </row>
    <row r="38" spans="32:39" x14ac:dyDescent="0.25">
      <c r="AF38" s="163" t="s">
        <v>73</v>
      </c>
      <c r="AG38" s="163" t="s">
        <v>108</v>
      </c>
      <c r="AH38" s="164" t="s">
        <v>106</v>
      </c>
      <c r="AI38">
        <f t="shared" si="16"/>
        <v>8</v>
      </c>
      <c r="AJ38" s="166">
        <f t="shared" ca="1" si="0"/>
        <v>758.78089675633385</v>
      </c>
      <c r="AK38" s="166">
        <f t="shared" ca="1" si="1"/>
        <v>1017.9381387727991</v>
      </c>
      <c r="AL38" s="171">
        <f t="shared" ca="1" si="2"/>
        <v>0.25459036472383167</v>
      </c>
      <c r="AM38" s="171"/>
    </row>
    <row r="39" spans="32:39" x14ac:dyDescent="0.25">
      <c r="AF39" s="163" t="s">
        <v>80</v>
      </c>
      <c r="AG39" s="163" t="s">
        <v>64</v>
      </c>
      <c r="AH39" s="164" t="s">
        <v>65</v>
      </c>
      <c r="AI39">
        <f t="shared" si="16"/>
        <v>0</v>
      </c>
      <c r="AJ39" s="166">
        <f t="shared" ca="1" si="0"/>
        <v>209.67015269617798</v>
      </c>
      <c r="AK39" s="166">
        <f t="shared" ca="1" si="1"/>
        <v>307.92628697877177</v>
      </c>
      <c r="AL39" s="171">
        <f t="shared" ca="1" si="2"/>
        <v>0.31908979011385119</v>
      </c>
      <c r="AM39" s="171"/>
    </row>
    <row r="40" spans="32:39" x14ac:dyDescent="0.25">
      <c r="AF40" s="163" t="s">
        <v>80</v>
      </c>
      <c r="AG40" s="163" t="s">
        <v>64</v>
      </c>
      <c r="AH40" s="164" t="s">
        <v>72</v>
      </c>
      <c r="AI40">
        <f t="shared" si="16"/>
        <v>1</v>
      </c>
      <c r="AJ40" s="166">
        <f t="shared" ca="1" si="0"/>
        <v>320.14452321011169</v>
      </c>
      <c r="AK40" s="166">
        <f t="shared" ca="1" si="1"/>
        <v>363.91288461127573</v>
      </c>
      <c r="AL40" s="171">
        <f t="shared" ca="1" si="2"/>
        <v>0.12027153544705216</v>
      </c>
      <c r="AM40" s="171"/>
    </row>
    <row r="41" spans="32:39" x14ac:dyDescent="0.25">
      <c r="AF41" s="163" t="s">
        <v>80</v>
      </c>
      <c r="AG41" s="163" t="s">
        <v>64</v>
      </c>
      <c r="AH41" s="164" t="s">
        <v>79</v>
      </c>
      <c r="AI41">
        <f t="shared" si="16"/>
        <v>2</v>
      </c>
      <c r="AJ41" s="166">
        <f t="shared" ca="1" si="0"/>
        <v>368.60658473426162</v>
      </c>
      <c r="AK41" s="166">
        <f t="shared" ca="1" si="1"/>
        <v>349.91623520314977</v>
      </c>
      <c r="AL41" s="171">
        <f t="shared" ca="1" si="2"/>
        <v>5.3413782073475025E-2</v>
      </c>
      <c r="AM41" s="171"/>
    </row>
    <row r="42" spans="32:39" x14ac:dyDescent="0.25">
      <c r="AF42" s="163" t="s">
        <v>80</v>
      </c>
      <c r="AG42" s="163" t="s">
        <v>64</v>
      </c>
      <c r="AH42" s="164" t="s">
        <v>85</v>
      </c>
      <c r="AI42">
        <f t="shared" si="16"/>
        <v>3</v>
      </c>
      <c r="AJ42" s="166">
        <f t="shared" ca="1" si="0"/>
        <v>424.48142869549349</v>
      </c>
      <c r="AK42" s="166">
        <f t="shared" ca="1" si="1"/>
        <v>335.91958579502369</v>
      </c>
      <c r="AL42" s="171">
        <f t="shared" ca="1" si="2"/>
        <v>0.26364000982815505</v>
      </c>
      <c r="AM42" s="171"/>
    </row>
    <row r="43" spans="32:39" x14ac:dyDescent="0.25">
      <c r="AF43" s="163" t="s">
        <v>80</v>
      </c>
      <c r="AG43" s="163" t="s">
        <v>64</v>
      </c>
      <c r="AH43" s="164" t="s">
        <v>91</v>
      </c>
      <c r="AI43">
        <f t="shared" si="16"/>
        <v>4</v>
      </c>
      <c r="AJ43" s="166">
        <f t="shared" ca="1" si="0"/>
        <v>488.76539681922191</v>
      </c>
      <c r="AK43" s="166">
        <f t="shared" ca="1" si="1"/>
        <v>419.89948224377969</v>
      </c>
      <c r="AL43" s="171">
        <f t="shared" ca="1" si="2"/>
        <v>0.16400571443301026</v>
      </c>
      <c r="AM43" s="171"/>
    </row>
    <row r="44" spans="32:39" x14ac:dyDescent="0.25">
      <c r="AF44" s="163" t="s">
        <v>80</v>
      </c>
      <c r="AG44" s="163" t="s">
        <v>64</v>
      </c>
      <c r="AH44" s="164" t="s">
        <v>97</v>
      </c>
      <c r="AI44">
        <f t="shared" si="16"/>
        <v>5</v>
      </c>
      <c r="AJ44" s="166">
        <f t="shared" ca="1" si="0"/>
        <v>562.81351385201003</v>
      </c>
      <c r="AK44" s="166">
        <f t="shared" ca="1" si="1"/>
        <v>503.87937869253557</v>
      </c>
      <c r="AL44" s="171">
        <f t="shared" ca="1" si="2"/>
        <v>0.11696079984935404</v>
      </c>
      <c r="AM44" s="171"/>
    </row>
    <row r="45" spans="32:39" x14ac:dyDescent="0.25">
      <c r="AF45" s="163" t="s">
        <v>80</v>
      </c>
      <c r="AG45" s="163" t="s">
        <v>64</v>
      </c>
      <c r="AH45" s="164" t="s">
        <v>100</v>
      </c>
      <c r="AI45">
        <f t="shared" si="16"/>
        <v>6</v>
      </c>
      <c r="AJ45" s="166">
        <f t="shared" ca="1" si="0"/>
        <v>648.06051187845458</v>
      </c>
      <c r="AK45" s="166">
        <f t="shared" ca="1" si="1"/>
        <v>699.83247040629954</v>
      </c>
      <c r="AL45" s="171">
        <f t="shared" ca="1" si="2"/>
        <v>7.3977645675382675E-2</v>
      </c>
      <c r="AM45" s="171"/>
    </row>
    <row r="46" spans="32:39" x14ac:dyDescent="0.25">
      <c r="AF46" s="163" t="s">
        <v>80</v>
      </c>
      <c r="AG46" s="163" t="s">
        <v>64</v>
      </c>
      <c r="AH46" s="164" t="s">
        <v>104</v>
      </c>
      <c r="AI46">
        <f t="shared" si="16"/>
        <v>7</v>
      </c>
      <c r="AJ46" s="166">
        <f t="shared" ca="1" si="0"/>
        <v>746.22009866626809</v>
      </c>
      <c r="AK46" s="166">
        <f t="shared" ca="1" si="1"/>
        <v>839.79896448755937</v>
      </c>
      <c r="AL46" s="171">
        <f t="shared" ca="1" si="2"/>
        <v>0.11143008002920385</v>
      </c>
      <c r="AM46" s="171"/>
    </row>
    <row r="47" spans="32:39" x14ac:dyDescent="0.25">
      <c r="AF47" s="163" t="s">
        <v>80</v>
      </c>
      <c r="AG47" s="163" t="s">
        <v>64</v>
      </c>
      <c r="AH47" s="164" t="s">
        <v>106</v>
      </c>
      <c r="AI47">
        <f t="shared" si="16"/>
        <v>8</v>
      </c>
      <c r="AJ47" s="166">
        <f t="shared" ca="1" si="0"/>
        <v>859.28495766627884</v>
      </c>
      <c r="AK47" s="166">
        <f t="shared" ca="1" si="1"/>
        <v>979.76545856881921</v>
      </c>
      <c r="AL47" s="171">
        <f t="shared" ca="1" si="2"/>
        <v>0.12296871649111907</v>
      </c>
      <c r="AM47" s="171"/>
    </row>
    <row r="48" spans="32:39" x14ac:dyDescent="0.25">
      <c r="AF48" s="163" t="s">
        <v>80</v>
      </c>
      <c r="AG48" s="163" t="s">
        <v>108</v>
      </c>
      <c r="AH48" s="164" t="s">
        <v>65</v>
      </c>
      <c r="AI48">
        <f t="shared" si="16"/>
        <v>0</v>
      </c>
      <c r="AJ48" s="166">
        <f t="shared" ca="1" si="0"/>
        <v>103.97822246423272</v>
      </c>
      <c r="AK48" s="166">
        <f t="shared" ca="1" si="1"/>
        <v>209.94974112188984</v>
      </c>
      <c r="AL48" s="171">
        <f t="shared" ca="1" si="2"/>
        <v>0.50474707942665953</v>
      </c>
      <c r="AM48" s="171"/>
    </row>
    <row r="49" spans="32:39" x14ac:dyDescent="0.25">
      <c r="AF49" s="163" t="s">
        <v>80</v>
      </c>
      <c r="AG49" s="163" t="s">
        <v>108</v>
      </c>
      <c r="AH49" s="164" t="s">
        <v>72</v>
      </c>
      <c r="AI49">
        <f t="shared" si="16"/>
        <v>1</v>
      </c>
      <c r="AJ49" s="166">
        <f t="shared" ca="1" si="0"/>
        <v>187.47165905394812</v>
      </c>
      <c r="AK49" s="166">
        <f t="shared" ca="1" si="1"/>
        <v>223.94639053001583</v>
      </c>
      <c r="AL49" s="171">
        <f t="shared" ca="1" si="2"/>
        <v>0.16287260263379399</v>
      </c>
      <c r="AM49" s="171"/>
    </row>
    <row r="50" spans="32:39" x14ac:dyDescent="0.25">
      <c r="AF50" s="163" t="s">
        <v>80</v>
      </c>
      <c r="AG50" s="163" t="s">
        <v>108</v>
      </c>
      <c r="AH50" s="164" t="s">
        <v>79</v>
      </c>
      <c r="AI50">
        <f t="shared" si="16"/>
        <v>2</v>
      </c>
      <c r="AJ50" s="166">
        <f t="shared" ca="1" si="0"/>
        <v>228.16225511986673</v>
      </c>
      <c r="AK50" s="166">
        <f t="shared" ca="1" si="1"/>
        <v>237.94303993814179</v>
      </c>
      <c r="AL50" s="171">
        <f t="shared" ca="1" si="2"/>
        <v>4.110557224459177E-2</v>
      </c>
      <c r="AM50" s="171"/>
    </row>
    <row r="51" spans="32:39" x14ac:dyDescent="0.25">
      <c r="AF51" s="163" t="s">
        <v>80</v>
      </c>
      <c r="AG51" s="163" t="s">
        <v>108</v>
      </c>
      <c r="AH51" s="164" t="s">
        <v>85</v>
      </c>
      <c r="AI51">
        <f t="shared" si="16"/>
        <v>3</v>
      </c>
      <c r="AJ51" s="166">
        <f t="shared" ca="1" si="0"/>
        <v>277.70036570746396</v>
      </c>
      <c r="AK51" s="166">
        <f t="shared" ca="1" si="1"/>
        <v>251.93968934626778</v>
      </c>
      <c r="AL51" s="171">
        <f t="shared" ca="1" si="2"/>
        <v>0.1022493773332811</v>
      </c>
      <c r="AM51" s="171"/>
    </row>
    <row r="52" spans="32:39" x14ac:dyDescent="0.25">
      <c r="AF52" s="163" t="s">
        <v>80</v>
      </c>
      <c r="AG52" s="163" t="s">
        <v>108</v>
      </c>
      <c r="AH52" s="164" t="s">
        <v>91</v>
      </c>
      <c r="AI52">
        <f t="shared" si="16"/>
        <v>4</v>
      </c>
      <c r="AJ52" s="166">
        <f t="shared" ca="1" si="0"/>
        <v>337.9989669295353</v>
      </c>
      <c r="AK52" s="166">
        <f t="shared" ca="1" si="1"/>
        <v>279.93298816251979</v>
      </c>
      <c r="AL52" s="171">
        <f t="shared" ca="1" si="2"/>
        <v>0.20742813895625734</v>
      </c>
      <c r="AM52" s="171"/>
    </row>
    <row r="53" spans="32:39" x14ac:dyDescent="0.25">
      <c r="AF53" s="163" t="s">
        <v>80</v>
      </c>
      <c r="AG53" s="163" t="s">
        <v>108</v>
      </c>
      <c r="AH53" s="164" t="s">
        <v>97</v>
      </c>
      <c r="AI53">
        <f t="shared" si="16"/>
        <v>5</v>
      </c>
      <c r="AJ53" s="166">
        <f t="shared" ca="1" si="0"/>
        <v>411.40942525805838</v>
      </c>
      <c r="AK53" s="166">
        <f t="shared" ca="1" si="1"/>
        <v>335.91958579502369</v>
      </c>
      <c r="AL53" s="171">
        <f t="shared" ca="1" si="2"/>
        <v>0.22472592446305928</v>
      </c>
      <c r="AM53" s="171"/>
    </row>
    <row r="54" spans="32:39" x14ac:dyDescent="0.25">
      <c r="AF54" s="163" t="s">
        <v>80</v>
      </c>
      <c r="AG54" s="163" t="s">
        <v>108</v>
      </c>
      <c r="AH54" s="164" t="s">
        <v>100</v>
      </c>
      <c r="AI54">
        <f t="shared" si="16"/>
        <v>6</v>
      </c>
      <c r="AJ54" s="166">
        <f t="shared" ca="1" si="0"/>
        <v>500.72149752419307</v>
      </c>
      <c r="AK54" s="166">
        <f t="shared" ca="1" si="1"/>
        <v>699.83247040629954</v>
      </c>
      <c r="AL54" s="171">
        <f t="shared" ca="1" si="2"/>
        <v>0.28451233874088355</v>
      </c>
      <c r="AM54" s="171"/>
    </row>
    <row r="55" spans="32:39" x14ac:dyDescent="0.25">
      <c r="AF55" s="163" t="s">
        <v>80</v>
      </c>
      <c r="AG55" s="163" t="s">
        <v>108</v>
      </c>
      <c r="AH55" s="164" t="s">
        <v>104</v>
      </c>
      <c r="AI55">
        <f t="shared" si="16"/>
        <v>7</v>
      </c>
      <c r="AJ55" s="166">
        <f t="shared" ca="1" si="0"/>
        <v>609.44230660139772</v>
      </c>
      <c r="AK55" s="166">
        <f t="shared" ca="1" si="1"/>
        <v>867.7922633038113</v>
      </c>
      <c r="AL55" s="171">
        <f t="shared" ca="1" si="2"/>
        <v>0.29770944917028619</v>
      </c>
      <c r="AM55" s="171"/>
    </row>
    <row r="56" spans="32:39" x14ac:dyDescent="0.25">
      <c r="AF56" s="163" t="s">
        <v>80</v>
      </c>
      <c r="AG56" s="163" t="s">
        <v>108</v>
      </c>
      <c r="AH56" s="164" t="s">
        <v>106</v>
      </c>
      <c r="AI56">
        <f t="shared" si="16"/>
        <v>8</v>
      </c>
      <c r="AJ56" s="166">
        <f t="shared" ca="1" si="0"/>
        <v>741.75648773641217</v>
      </c>
      <c r="AK56" s="166">
        <f t="shared" ca="1" si="1"/>
        <v>1119.7319526500792</v>
      </c>
      <c r="AL56" s="171">
        <f t="shared" ca="1" si="2"/>
        <v>0.33755888096174202</v>
      </c>
      <c r="AM56" s="171"/>
    </row>
    <row r="57" spans="32:39" x14ac:dyDescent="0.25">
      <c r="AF57" s="163" t="s">
        <v>86</v>
      </c>
      <c r="AG57" s="163" t="s">
        <v>64</v>
      </c>
      <c r="AH57" s="164" t="s">
        <v>65</v>
      </c>
      <c r="AI57">
        <f t="shared" si="16"/>
        <v>0</v>
      </c>
      <c r="AJ57" s="166">
        <f t="shared" ca="1" si="0"/>
        <v>194.70577397042902</v>
      </c>
      <c r="AK57" s="166">
        <f t="shared" ca="1" si="1"/>
        <v>223.94639053001583</v>
      </c>
      <c r="AL57" s="171">
        <f t="shared" ca="1" si="2"/>
        <v>0.1305697157716309</v>
      </c>
      <c r="AM57" s="171"/>
    </row>
    <row r="58" spans="32:39" x14ac:dyDescent="0.25">
      <c r="AF58" s="163" t="s">
        <v>86</v>
      </c>
      <c r="AG58" s="163" t="s">
        <v>64</v>
      </c>
      <c r="AH58" s="164" t="s">
        <v>72</v>
      </c>
      <c r="AI58">
        <f t="shared" si="16"/>
        <v>1</v>
      </c>
      <c r="AJ58" s="166">
        <f t="shared" ca="1" si="0"/>
        <v>297.29547278168718</v>
      </c>
      <c r="AK58" s="166">
        <f t="shared" ca="1" si="1"/>
        <v>264.66391608092778</v>
      </c>
      <c r="AL58" s="171">
        <f t="shared" ca="1" si="2"/>
        <v>0.1232943167469096</v>
      </c>
      <c r="AM58" s="171"/>
    </row>
    <row r="59" spans="32:39" x14ac:dyDescent="0.25">
      <c r="AF59" s="163" t="s">
        <v>86</v>
      </c>
      <c r="AG59" s="163" t="s">
        <v>64</v>
      </c>
      <c r="AH59" s="164" t="s">
        <v>79</v>
      </c>
      <c r="AI59">
        <f t="shared" si="16"/>
        <v>2</v>
      </c>
      <c r="AJ59" s="166">
        <f t="shared" ca="1" si="0"/>
        <v>342.29874614189282</v>
      </c>
      <c r="AK59" s="166">
        <f t="shared" ca="1" si="1"/>
        <v>254.48453469319981</v>
      </c>
      <c r="AL59" s="171">
        <f t="shared" ca="1" si="2"/>
        <v>0.34506698630845922</v>
      </c>
      <c r="AM59" s="171"/>
    </row>
    <row r="60" spans="32:39" x14ac:dyDescent="0.25">
      <c r="AF60" s="167" t="s">
        <v>86</v>
      </c>
      <c r="AG60" s="167" t="s">
        <v>64</v>
      </c>
      <c r="AH60" s="168" t="s">
        <v>85</v>
      </c>
      <c r="AI60" s="169">
        <f t="shared" si="16"/>
        <v>3</v>
      </c>
      <c r="AJ60" s="170">
        <f t="shared" ca="1" si="0"/>
        <v>394.18574388120874</v>
      </c>
      <c r="AK60" s="170">
        <f t="shared" ca="1" si="1"/>
        <v>244.30515330547178</v>
      </c>
      <c r="AL60" s="172">
        <f t="shared" ca="1" si="2"/>
        <v>0.61349745819045731</v>
      </c>
      <c r="AM60" s="172"/>
    </row>
    <row r="61" spans="32:39" x14ac:dyDescent="0.25">
      <c r="AF61" s="163" t="s">
        <v>86</v>
      </c>
      <c r="AG61" s="163" t="s">
        <v>64</v>
      </c>
      <c r="AH61" s="164" t="s">
        <v>91</v>
      </c>
      <c r="AI61">
        <f t="shared" si="16"/>
        <v>4</v>
      </c>
      <c r="AJ61" s="166">
        <f t="shared" ca="1" si="0"/>
        <v>453.88169777102098</v>
      </c>
      <c r="AK61" s="166">
        <f t="shared" ca="1" si="1"/>
        <v>305.38144163183978</v>
      </c>
      <c r="AL61" s="171">
        <f t="shared" ca="1" si="2"/>
        <v>0.4862779327573199</v>
      </c>
      <c r="AM61" s="171"/>
    </row>
    <row r="62" spans="32:39" x14ac:dyDescent="0.25">
      <c r="AF62" s="163" t="s">
        <v>86</v>
      </c>
      <c r="AG62" s="163" t="s">
        <v>64</v>
      </c>
      <c r="AH62" s="164" t="s">
        <v>97</v>
      </c>
      <c r="AI62">
        <f t="shared" si="16"/>
        <v>5</v>
      </c>
      <c r="AJ62" s="166">
        <f t="shared" ca="1" si="0"/>
        <v>522.64492302041401</v>
      </c>
      <c r="AK62" s="166">
        <f t="shared" ca="1" si="1"/>
        <v>366.45772995820766</v>
      </c>
      <c r="AL62" s="171">
        <f t="shared" ca="1" si="2"/>
        <v>0.42620793694273718</v>
      </c>
      <c r="AM62" s="171"/>
    </row>
    <row r="63" spans="32:39" x14ac:dyDescent="0.25">
      <c r="AF63" s="163" t="s">
        <v>86</v>
      </c>
      <c r="AG63" s="163" t="s">
        <v>64</v>
      </c>
      <c r="AH63" s="164" t="s">
        <v>100</v>
      </c>
      <c r="AI63">
        <f t="shared" si="16"/>
        <v>6</v>
      </c>
      <c r="AJ63" s="166">
        <f t="shared" ca="1" si="0"/>
        <v>601.80775338018361</v>
      </c>
      <c r="AK63" s="166">
        <f t="shared" ca="1" si="1"/>
        <v>508.96906938639961</v>
      </c>
      <c r="AL63" s="171">
        <f t="shared" ca="1" si="2"/>
        <v>0.18240535540933367</v>
      </c>
      <c r="AM63" s="171"/>
    </row>
    <row r="64" spans="32:39" x14ac:dyDescent="0.25">
      <c r="AF64" s="163" t="s">
        <v>86</v>
      </c>
      <c r="AG64" s="163" t="s">
        <v>64</v>
      </c>
      <c r="AH64" s="164" t="s">
        <v>104</v>
      </c>
      <c r="AI64">
        <f t="shared" si="16"/>
        <v>7</v>
      </c>
      <c r="AJ64" s="166">
        <f t="shared" ca="1" si="0"/>
        <v>692.96158749711321</v>
      </c>
      <c r="AK64" s="166">
        <f t="shared" ca="1" si="1"/>
        <v>610.76288326367956</v>
      </c>
      <c r="AL64" s="171">
        <f t="shared" ca="1" si="2"/>
        <v>0.13458366001908262</v>
      </c>
      <c r="AM64" s="171"/>
    </row>
    <row r="65" spans="32:39" x14ac:dyDescent="0.25">
      <c r="AF65" s="163" t="s">
        <v>86</v>
      </c>
      <c r="AG65" s="163" t="s">
        <v>64</v>
      </c>
      <c r="AH65" s="164" t="s">
        <v>106</v>
      </c>
      <c r="AI65">
        <f t="shared" si="16"/>
        <v>8</v>
      </c>
      <c r="AJ65" s="166">
        <f t="shared" ca="1" si="0"/>
        <v>797.95688891397447</v>
      </c>
      <c r="AK65" s="166">
        <f t="shared" ca="1" si="1"/>
        <v>712.55669714095939</v>
      </c>
      <c r="AL65" s="171">
        <f t="shared" ca="1" si="2"/>
        <v>0.11985038119166114</v>
      </c>
      <c r="AM65" s="171"/>
    </row>
    <row r="66" spans="32:39" x14ac:dyDescent="0.25">
      <c r="AF66" s="163" t="s">
        <v>86</v>
      </c>
      <c r="AG66" s="163" t="s">
        <v>108</v>
      </c>
      <c r="AH66" s="164" t="s">
        <v>65</v>
      </c>
      <c r="AI66">
        <f t="shared" si="16"/>
        <v>0</v>
      </c>
      <c r="AJ66" s="166">
        <f t="shared" ca="1" si="0"/>
        <v>96.557187661822709</v>
      </c>
      <c r="AK66" s="166">
        <f t="shared" ca="1" si="1"/>
        <v>152.69072081591989</v>
      </c>
      <c r="AL66" s="171">
        <f t="shared" ca="1" si="2"/>
        <v>0.36762897479389312</v>
      </c>
      <c r="AM66" s="171"/>
    </row>
    <row r="67" spans="32:39" x14ac:dyDescent="0.25">
      <c r="AF67" s="163" t="s">
        <v>86</v>
      </c>
      <c r="AG67" s="163" t="s">
        <v>108</v>
      </c>
      <c r="AH67" s="164" t="s">
        <v>72</v>
      </c>
      <c r="AI67">
        <f t="shared" si="16"/>
        <v>1</v>
      </c>
      <c r="AJ67" s="166">
        <f t="shared" ca="1" si="0"/>
        <v>174.09161010395326</v>
      </c>
      <c r="AK67" s="166">
        <f t="shared" ca="1" si="1"/>
        <v>162.87010220364789</v>
      </c>
      <c r="AL67" s="171">
        <f t="shared" ca="1" si="2"/>
        <v>6.8898513284373797E-2</v>
      </c>
      <c r="AM67" s="171"/>
    </row>
    <row r="68" spans="32:39" x14ac:dyDescent="0.25">
      <c r="AF68" s="163" t="s">
        <v>86</v>
      </c>
      <c r="AG68" s="163" t="s">
        <v>108</v>
      </c>
      <c r="AH68" s="164" t="s">
        <v>79</v>
      </c>
      <c r="AI68">
        <f t="shared" si="16"/>
        <v>2</v>
      </c>
      <c r="AJ68" s="166">
        <f t="shared" ref="AJ68:AJ74" ca="1" si="21">AC$8*IF(AG68="F",OFFSET(X$4,AI68,0),OFFSET(X$17,AI68,0))*VLOOKUP(AF68,Z$4:AD$7,5,FALSE)</f>
        <v>211.87807564734956</v>
      </c>
      <c r="AK68" s="166">
        <f t="shared" ref="AK68:AK74" ca="1" si="22">O$7*IF(AG68="F",OFFSET(F$4,AI68,0),OFFSET(F$13,AI68,0))*VLOOKUP(AF68,H$4:L$7,5,FALSE)</f>
        <v>173.04948359137586</v>
      </c>
      <c r="AL68" s="171">
        <f t="shared" ref="AL68:AL74" ca="1" si="23">ABS(AJ68/AK68-1)</f>
        <v>0.22437854913026034</v>
      </c>
      <c r="AM68" s="171"/>
    </row>
    <row r="69" spans="32:39" x14ac:dyDescent="0.25">
      <c r="AF69" s="163" t="s">
        <v>86</v>
      </c>
      <c r="AG69" s="163" t="s">
        <v>108</v>
      </c>
      <c r="AH69" s="164" t="s">
        <v>85</v>
      </c>
      <c r="AI69">
        <f t="shared" si="16"/>
        <v>3</v>
      </c>
      <c r="AJ69" s="166">
        <f t="shared" ca="1" si="21"/>
        <v>257.88059932065181</v>
      </c>
      <c r="AK69" s="166">
        <f t="shared" ca="1" si="22"/>
        <v>183.22886497910383</v>
      </c>
      <c r="AL69" s="171">
        <f t="shared" ca="1" si="23"/>
        <v>0.407423439260302</v>
      </c>
      <c r="AM69" s="171"/>
    </row>
    <row r="70" spans="32:39" x14ac:dyDescent="0.25">
      <c r="AF70" s="163" t="s">
        <v>86</v>
      </c>
      <c r="AG70" s="163" t="s">
        <v>108</v>
      </c>
      <c r="AH70" s="164" t="s">
        <v>91</v>
      </c>
      <c r="AI70">
        <f t="shared" si="16"/>
        <v>4</v>
      </c>
      <c r="AJ70" s="166">
        <f t="shared" ca="1" si="21"/>
        <v>313.87562612492076</v>
      </c>
      <c r="AK70" s="166">
        <f t="shared" ca="1" si="22"/>
        <v>203.58762775455983</v>
      </c>
      <c r="AL70" s="171">
        <f t="shared" ca="1" si="23"/>
        <v>0.5417224984974105</v>
      </c>
      <c r="AM70" s="171"/>
    </row>
    <row r="71" spans="32:39" x14ac:dyDescent="0.25">
      <c r="AF71" s="163" t="s">
        <v>86</v>
      </c>
      <c r="AG71" s="163" t="s">
        <v>108</v>
      </c>
      <c r="AH71" s="164" t="s">
        <v>97</v>
      </c>
      <c r="AI71">
        <f t="shared" si="16"/>
        <v>5</v>
      </c>
      <c r="AJ71" s="166">
        <f t="shared" ca="1" si="21"/>
        <v>382.04670304062699</v>
      </c>
      <c r="AK71" s="166">
        <f t="shared" ca="1" si="22"/>
        <v>244.30515330547178</v>
      </c>
      <c r="AL71" s="171">
        <f t="shared" ca="1" si="23"/>
        <v>0.56380943206272582</v>
      </c>
      <c r="AM71" s="171"/>
    </row>
    <row r="72" spans="32:39" x14ac:dyDescent="0.25">
      <c r="AF72" s="163" t="s">
        <v>86</v>
      </c>
      <c r="AG72" s="163" t="s">
        <v>108</v>
      </c>
      <c r="AH72" s="164" t="s">
        <v>100</v>
      </c>
      <c r="AI72">
        <f t="shared" si="16"/>
        <v>6</v>
      </c>
      <c r="AJ72" s="166">
        <f t="shared" ca="1" si="21"/>
        <v>464.98447902765059</v>
      </c>
      <c r="AK72" s="166">
        <f t="shared" ca="1" si="22"/>
        <v>508.96906938639961</v>
      </c>
      <c r="AL72" s="171">
        <f t="shared" ca="1" si="23"/>
        <v>8.6418984972457591E-2</v>
      </c>
      <c r="AM72" s="171"/>
    </row>
    <row r="73" spans="32:39" x14ac:dyDescent="0.25">
      <c r="AF73" s="163" t="s">
        <v>86</v>
      </c>
      <c r="AG73" s="163" t="s">
        <v>108</v>
      </c>
      <c r="AH73" s="164" t="s">
        <v>104</v>
      </c>
      <c r="AI73">
        <f t="shared" si="16"/>
        <v>7</v>
      </c>
      <c r="AJ73" s="166">
        <f t="shared" ca="1" si="21"/>
        <v>565.94576992126974</v>
      </c>
      <c r="AK73" s="166">
        <f t="shared" ca="1" si="22"/>
        <v>631.1216460391355</v>
      </c>
      <c r="AL73" s="171">
        <f t="shared" ca="1" si="23"/>
        <v>0.10326991084350201</v>
      </c>
      <c r="AM73" s="171"/>
    </row>
    <row r="74" spans="32:39" x14ac:dyDescent="0.25">
      <c r="AF74" s="163" t="s">
        <v>86</v>
      </c>
      <c r="AG74" s="163" t="s">
        <v>108</v>
      </c>
      <c r="AH74" s="164" t="s">
        <v>106</v>
      </c>
      <c r="AI74">
        <f t="shared" si="16"/>
        <v>8</v>
      </c>
      <c r="AJ74" s="166">
        <f t="shared" ca="1" si="21"/>
        <v>688.81654916130481</v>
      </c>
      <c r="AK74" s="166">
        <f t="shared" ca="1" si="22"/>
        <v>814.35051101823933</v>
      </c>
      <c r="AL74" s="171">
        <f t="shared" ca="1" si="23"/>
        <v>0.15415224790608972</v>
      </c>
      <c r="AM74" s="171"/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19" zoomScaleNormal="100" workbookViewId="0">
      <selection activeCell="L33" sqref="L33"/>
    </sheetView>
  </sheetViews>
  <sheetFormatPr defaultRowHeight="15" x14ac:dyDescent="0.25"/>
  <cols>
    <col min="1" max="1" width="22.28515625" customWidth="1"/>
    <col min="2" max="2" width="14.140625" customWidth="1"/>
    <col min="3" max="3" width="12.28515625" customWidth="1"/>
    <col min="4" max="4" width="12" customWidth="1"/>
    <col min="6" max="6" width="11.42578125" customWidth="1"/>
    <col min="8" max="8" width="40.42578125" customWidth="1"/>
    <col min="9" max="9" width="12.85546875" customWidth="1"/>
    <col min="10" max="10" width="14.7109375" customWidth="1"/>
  </cols>
  <sheetData>
    <row r="1" spans="1:9" ht="15.75" thickTop="1" x14ac:dyDescent="0.25">
      <c r="A1" s="15"/>
      <c r="B1" s="16"/>
      <c r="C1" s="17" t="s">
        <v>1</v>
      </c>
      <c r="D1" s="16"/>
      <c r="E1" s="16"/>
      <c r="F1" s="18" t="s">
        <v>2</v>
      </c>
      <c r="H1" s="42" t="s">
        <v>18</v>
      </c>
      <c r="I1" s="18">
        <v>30.3</v>
      </c>
    </row>
    <row r="2" spans="1:9" x14ac:dyDescent="0.25">
      <c r="A2" s="19"/>
      <c r="B2" s="20"/>
      <c r="C2" s="21" t="s">
        <v>5</v>
      </c>
      <c r="D2" s="21" t="s">
        <v>5</v>
      </c>
      <c r="E2" s="21" t="s">
        <v>2</v>
      </c>
      <c r="F2" s="22" t="s">
        <v>5</v>
      </c>
      <c r="H2" s="19" t="s">
        <v>69</v>
      </c>
      <c r="I2" s="48">
        <f>F4</f>
        <v>4814.2140950155745</v>
      </c>
    </row>
    <row r="3" spans="1:9" x14ac:dyDescent="0.25">
      <c r="A3" s="41" t="s">
        <v>15</v>
      </c>
      <c r="B3" s="21" t="s">
        <v>16</v>
      </c>
      <c r="C3" s="21" t="s">
        <v>3</v>
      </c>
      <c r="D3" s="21" t="s">
        <v>17</v>
      </c>
      <c r="E3" s="21" t="s">
        <v>16</v>
      </c>
      <c r="F3" s="22" t="s">
        <v>17</v>
      </c>
      <c r="H3" s="19" t="s">
        <v>76</v>
      </c>
      <c r="I3" s="47">
        <v>1000</v>
      </c>
    </row>
    <row r="4" spans="1:9" x14ac:dyDescent="0.25">
      <c r="A4" s="19" t="s">
        <v>68</v>
      </c>
      <c r="B4" s="46">
        <v>0.11489096573208722</v>
      </c>
      <c r="C4" s="45">
        <v>0</v>
      </c>
      <c r="D4" s="45">
        <v>0</v>
      </c>
      <c r="E4" s="46">
        <v>1</v>
      </c>
      <c r="F4" s="47">
        <f t="shared" ref="F4:F8" si="0">F5+D4</f>
        <v>4814.2140950155745</v>
      </c>
      <c r="H4" s="19" t="s">
        <v>83</v>
      </c>
      <c r="I4" s="49">
        <v>0.3</v>
      </c>
    </row>
    <row r="5" spans="1:9" x14ac:dyDescent="0.25">
      <c r="A5" s="19" t="s">
        <v>75</v>
      </c>
      <c r="B5" s="46">
        <v>0.24697819314641745</v>
      </c>
      <c r="C5" s="45">
        <v>234.38780272452126</v>
      </c>
      <c r="D5" s="45">
        <f>B5*C5</f>
        <v>57.888676012461204</v>
      </c>
      <c r="E5" s="46">
        <f>E4-B4</f>
        <v>0.88510903426791276</v>
      </c>
      <c r="F5" s="47">
        <f t="shared" si="0"/>
        <v>4814.2140950155745</v>
      </c>
      <c r="H5" s="50" t="s">
        <v>89</v>
      </c>
      <c r="I5" s="47">
        <v>4000</v>
      </c>
    </row>
    <row r="6" spans="1:9" x14ac:dyDescent="0.25">
      <c r="A6" s="19" t="s">
        <v>82</v>
      </c>
      <c r="B6" s="46">
        <v>0.3288473520249221</v>
      </c>
      <c r="C6" s="45">
        <v>1242.0597101174671</v>
      </c>
      <c r="D6" s="45">
        <f t="shared" ref="D6:D10" si="1">B6*C6</f>
        <v>408.44804672897141</v>
      </c>
      <c r="E6" s="46">
        <f t="shared" ref="E6:E10" si="2">E5-B5</f>
        <v>0.63813084112149532</v>
      </c>
      <c r="F6" s="47">
        <f t="shared" si="0"/>
        <v>4756.325419003113</v>
      </c>
      <c r="H6" s="50" t="s">
        <v>94</v>
      </c>
      <c r="I6" s="48">
        <f>I5/I4+I3</f>
        <v>14333.333333333334</v>
      </c>
    </row>
    <row r="7" spans="1:9" x14ac:dyDescent="0.25">
      <c r="A7" s="19" t="s">
        <v>88</v>
      </c>
      <c r="B7" s="46">
        <v>0.13283489096573209</v>
      </c>
      <c r="C7" s="45">
        <v>3701.5478775797346</v>
      </c>
      <c r="D7" s="45">
        <f t="shared" si="1"/>
        <v>491.6947087227411</v>
      </c>
      <c r="E7" s="46">
        <f t="shared" si="2"/>
        <v>0.30928348909657322</v>
      </c>
      <c r="F7" s="47">
        <f t="shared" si="0"/>
        <v>4347.8773722741416</v>
      </c>
      <c r="H7" s="50" t="s">
        <v>163</v>
      </c>
      <c r="I7" s="47"/>
    </row>
    <row r="8" spans="1:9" x14ac:dyDescent="0.25">
      <c r="A8" s="19" t="s">
        <v>93</v>
      </c>
      <c r="B8" s="46">
        <v>7.9875389408099684E-2</v>
      </c>
      <c r="C8" s="45">
        <v>7609.5478354134157</v>
      </c>
      <c r="D8" s="45">
        <f t="shared" si="1"/>
        <v>607.81559657320861</v>
      </c>
      <c r="E8" s="46">
        <f t="shared" si="2"/>
        <v>0.17644859813084113</v>
      </c>
      <c r="F8" s="47">
        <f t="shared" si="0"/>
        <v>3856.1826635514003</v>
      </c>
      <c r="H8" s="178">
        <v>0</v>
      </c>
      <c r="I8" s="47">
        <v>0</v>
      </c>
    </row>
    <row r="9" spans="1:9" x14ac:dyDescent="0.25">
      <c r="A9" s="19" t="s">
        <v>98</v>
      </c>
      <c r="B9" s="46">
        <v>9.1838006230529595E-2</v>
      </c>
      <c r="C9" s="45">
        <v>24799.739535278142</v>
      </c>
      <c r="D9" s="45">
        <f t="shared" si="1"/>
        <v>2277.5586339563852</v>
      </c>
      <c r="E9" s="46">
        <f t="shared" si="2"/>
        <v>9.6573208722741444E-2</v>
      </c>
      <c r="F9" s="47">
        <f>F10+D9</f>
        <v>3248.3670669781918</v>
      </c>
      <c r="H9" s="178">
        <v>500</v>
      </c>
      <c r="I9" s="48">
        <f>$B5*$C5</f>
        <v>57.888676012461204</v>
      </c>
    </row>
    <row r="10" spans="1:9" ht="15.75" thickBot="1" x14ac:dyDescent="0.3">
      <c r="A10" s="151" t="s">
        <v>101</v>
      </c>
      <c r="B10" s="153">
        <v>4.7352024922118381E-3</v>
      </c>
      <c r="C10" s="152">
        <v>205019.41249999995</v>
      </c>
      <c r="D10" s="152">
        <f t="shared" si="1"/>
        <v>970.80843302180665</v>
      </c>
      <c r="E10" s="153">
        <f t="shared" si="2"/>
        <v>4.7352024922118485E-3</v>
      </c>
      <c r="F10" s="154">
        <f>D10</f>
        <v>970.80843302180665</v>
      </c>
      <c r="H10" s="178">
        <v>2500</v>
      </c>
      <c r="I10" s="48">
        <f>$B6*(I$3+I$4*($C6-I$3))</f>
        <v>352.72756043613691</v>
      </c>
    </row>
    <row r="11" spans="1:9" ht="16.5" thickTop="1" x14ac:dyDescent="0.25">
      <c r="A11" s="117" t="s">
        <v>133</v>
      </c>
      <c r="B11" s="16"/>
      <c r="C11" s="16"/>
      <c r="D11" s="16"/>
      <c r="E11" s="16"/>
      <c r="F11" s="16"/>
      <c r="H11" s="78">
        <v>5500</v>
      </c>
      <c r="I11" s="48">
        <f t="shared" ref="I11:I12" si="3">$B7*(I$3+I$4*($C7-I$3))</f>
        <v>240.49283629283477</v>
      </c>
    </row>
    <row r="12" spans="1:9" ht="15.75" x14ac:dyDescent="0.25">
      <c r="A12" s="160" t="s">
        <v>142</v>
      </c>
      <c r="H12" s="178">
        <v>10500</v>
      </c>
      <c r="I12" s="48">
        <f t="shared" si="3"/>
        <v>238.25745155763235</v>
      </c>
    </row>
    <row r="13" spans="1:9" x14ac:dyDescent="0.25">
      <c r="H13" s="179">
        <v>100000</v>
      </c>
      <c r="I13" s="48">
        <f>$B9*(I$3+I$5)</f>
        <v>459.19003115264798</v>
      </c>
    </row>
    <row r="14" spans="1:9" x14ac:dyDescent="0.25">
      <c r="H14" s="19" t="s">
        <v>160</v>
      </c>
      <c r="I14" s="48">
        <f>$B10*(I$3+I$5)</f>
        <v>23.676012461059191</v>
      </c>
    </row>
    <row r="15" spans="1:9" x14ac:dyDescent="0.25">
      <c r="H15" s="19" t="s">
        <v>161</v>
      </c>
      <c r="I15" s="48">
        <f>SUM(I8:I14)</f>
        <v>1372.2325679127725</v>
      </c>
    </row>
    <row r="16" spans="1:9" x14ac:dyDescent="0.25">
      <c r="H16" s="19" t="s">
        <v>162</v>
      </c>
      <c r="I16" s="48">
        <f>I2-I15</f>
        <v>3441.9815271028019</v>
      </c>
    </row>
    <row r="17" spans="1:9" ht="15.75" thickBot="1" x14ac:dyDescent="0.3">
      <c r="H17" s="151" t="s">
        <v>111</v>
      </c>
      <c r="I17" s="180">
        <f>I16/I2</f>
        <v>0.71496228858340105</v>
      </c>
    </row>
    <row r="18" spans="1:9" ht="16.5" thickTop="1" x14ac:dyDescent="0.25">
      <c r="H18" s="113" t="s">
        <v>164</v>
      </c>
    </row>
    <row r="19" spans="1:9" x14ac:dyDescent="0.25">
      <c r="H19" s="103" t="s">
        <v>165</v>
      </c>
    </row>
    <row r="21" spans="1:9" ht="15.75" thickBot="1" x14ac:dyDescent="0.3"/>
    <row r="22" spans="1:9" ht="15.75" thickTop="1" x14ac:dyDescent="0.25">
      <c r="A22" s="15"/>
      <c r="B22" s="16"/>
      <c r="C22" s="17" t="s">
        <v>1</v>
      </c>
      <c r="D22" s="16"/>
      <c r="E22" s="16"/>
      <c r="F22" s="18" t="s">
        <v>2</v>
      </c>
      <c r="H22" s="42" t="s">
        <v>18</v>
      </c>
      <c r="I22" s="18">
        <v>30.3</v>
      </c>
    </row>
    <row r="23" spans="1:9" x14ac:dyDescent="0.25">
      <c r="A23" s="19"/>
      <c r="B23" s="20"/>
      <c r="C23" s="21" t="s">
        <v>5</v>
      </c>
      <c r="D23" s="21" t="s">
        <v>5</v>
      </c>
      <c r="E23" s="21" t="s">
        <v>2</v>
      </c>
      <c r="F23" s="22" t="s">
        <v>5</v>
      </c>
      <c r="H23" s="19" t="s">
        <v>69</v>
      </c>
      <c r="I23" s="48">
        <f>F25</f>
        <v>4814.2140950155745</v>
      </c>
    </row>
    <row r="24" spans="1:9" x14ac:dyDescent="0.25">
      <c r="A24" s="41" t="s">
        <v>15</v>
      </c>
      <c r="B24" s="21" t="s">
        <v>16</v>
      </c>
      <c r="C24" s="21" t="s">
        <v>3</v>
      </c>
      <c r="D24" s="21" t="s">
        <v>17</v>
      </c>
      <c r="E24" s="21" t="s">
        <v>16</v>
      </c>
      <c r="F24" s="22" t="s">
        <v>17</v>
      </c>
      <c r="H24" s="19" t="s">
        <v>76</v>
      </c>
      <c r="I24" s="47">
        <v>1000</v>
      </c>
    </row>
    <row r="25" spans="1:9" x14ac:dyDescent="0.25">
      <c r="A25" s="19" t="s">
        <v>68</v>
      </c>
      <c r="B25" s="46">
        <v>0.11489096573208722</v>
      </c>
      <c r="C25" s="45">
        <v>0</v>
      </c>
      <c r="D25" s="45">
        <v>0</v>
      </c>
      <c r="E25" s="46">
        <v>1</v>
      </c>
      <c r="F25" s="47">
        <f t="shared" ref="F25:F31" si="4">F26+D25</f>
        <v>4814.2140950155745</v>
      </c>
      <c r="H25" s="19" t="s">
        <v>83</v>
      </c>
      <c r="I25" s="49">
        <v>0.3</v>
      </c>
    </row>
    <row r="26" spans="1:9" x14ac:dyDescent="0.25">
      <c r="A26" s="19" t="s">
        <v>75</v>
      </c>
      <c r="B26" s="46">
        <v>0.24697819314641745</v>
      </c>
      <c r="C26" s="45">
        <v>234.38780272452126</v>
      </c>
      <c r="D26" s="45">
        <f>B26*C26</f>
        <v>57.888676012461204</v>
      </c>
      <c r="E26" s="46">
        <f>E25-B25</f>
        <v>0.88510903426791276</v>
      </c>
      <c r="F26" s="47">
        <f t="shared" si="4"/>
        <v>4814.2140950155745</v>
      </c>
      <c r="H26" s="50" t="s">
        <v>89</v>
      </c>
      <c r="I26" s="47">
        <v>3000</v>
      </c>
    </row>
    <row r="27" spans="1:9" x14ac:dyDescent="0.25">
      <c r="A27" s="19" t="s">
        <v>82</v>
      </c>
      <c r="B27" s="46">
        <v>0.3288473520249221</v>
      </c>
      <c r="C27" s="45">
        <v>1242.0597101174671</v>
      </c>
      <c r="D27" s="45">
        <f t="shared" ref="D27:D32" si="5">B27*C27</f>
        <v>408.44804672897141</v>
      </c>
      <c r="E27" s="46">
        <f t="shared" ref="E27:E32" si="6">E26-B26</f>
        <v>0.63813084112149532</v>
      </c>
      <c r="F27" s="47">
        <f t="shared" si="4"/>
        <v>4756.325419003113</v>
      </c>
      <c r="H27" s="50" t="s">
        <v>94</v>
      </c>
      <c r="I27" s="48">
        <f>I26/I25+I24</f>
        <v>11000</v>
      </c>
    </row>
    <row r="28" spans="1:9" x14ac:dyDescent="0.25">
      <c r="A28" s="19" t="s">
        <v>88</v>
      </c>
      <c r="B28" s="46">
        <v>0.13283489096573209</v>
      </c>
      <c r="C28" s="45">
        <v>3701.5478775797346</v>
      </c>
      <c r="D28" s="45">
        <f t="shared" si="5"/>
        <v>491.6947087227411</v>
      </c>
      <c r="E28" s="46">
        <f t="shared" si="6"/>
        <v>0.30928348909657322</v>
      </c>
      <c r="F28" s="47">
        <f t="shared" si="4"/>
        <v>4347.8773722741416</v>
      </c>
      <c r="H28" s="50" t="s">
        <v>163</v>
      </c>
      <c r="I28" s="47"/>
    </row>
    <row r="29" spans="1:9" x14ac:dyDescent="0.25">
      <c r="A29" s="19" t="s">
        <v>93</v>
      </c>
      <c r="B29" s="46">
        <v>7.9875389408099684E-2</v>
      </c>
      <c r="C29" s="45">
        <v>7609.5478354134157</v>
      </c>
      <c r="D29" s="45">
        <f t="shared" si="5"/>
        <v>607.81559657320861</v>
      </c>
      <c r="E29" s="46">
        <f t="shared" si="6"/>
        <v>0.17644859813084113</v>
      </c>
      <c r="F29" s="47">
        <f t="shared" si="4"/>
        <v>3856.1826635514003</v>
      </c>
      <c r="H29" s="178">
        <v>0</v>
      </c>
      <c r="I29" s="47">
        <v>0</v>
      </c>
    </row>
    <row r="30" spans="1:9" x14ac:dyDescent="0.25">
      <c r="A30" s="19" t="s">
        <v>174</v>
      </c>
      <c r="B30" s="46">
        <f>B38</f>
        <v>5.1306148732139438E-4</v>
      </c>
      <c r="C30" s="45">
        <f>B39</f>
        <v>10750</v>
      </c>
      <c r="D30" s="45">
        <f t="shared" si="5"/>
        <v>5.5154109887049891</v>
      </c>
      <c r="E30" s="46">
        <f t="shared" si="6"/>
        <v>9.6573208722741444E-2</v>
      </c>
      <c r="F30" s="47">
        <f t="shared" si="4"/>
        <v>3248.3670669781918</v>
      </c>
      <c r="H30" s="178">
        <v>500</v>
      </c>
      <c r="I30" s="48">
        <f>$B26*$C26</f>
        <v>57.888676012461204</v>
      </c>
    </row>
    <row r="31" spans="1:9" x14ac:dyDescent="0.25">
      <c r="A31" s="19" t="s">
        <v>173</v>
      </c>
      <c r="B31" s="46">
        <f>B36-B38</f>
        <v>9.1324944743208195E-2</v>
      </c>
      <c r="C31" s="45">
        <f>B40</f>
        <v>24878.670656262853</v>
      </c>
      <c r="D31" s="45">
        <f t="shared" si="5"/>
        <v>2272.0432229676803</v>
      </c>
      <c r="E31" s="46">
        <f t="shared" si="6"/>
        <v>9.6060147235420043E-2</v>
      </c>
      <c r="F31" s="47">
        <f t="shared" si="4"/>
        <v>3242.851655989487</v>
      </c>
      <c r="H31" s="178">
        <v>2500</v>
      </c>
      <c r="I31" s="48">
        <f>$B27*(I$3+I$4*($C27-I$3))</f>
        <v>352.72756043613691</v>
      </c>
    </row>
    <row r="32" spans="1:9" ht="15.75" thickBot="1" x14ac:dyDescent="0.3">
      <c r="A32" s="151" t="s">
        <v>101</v>
      </c>
      <c r="B32" s="153">
        <v>4.7352024922118381E-3</v>
      </c>
      <c r="C32" s="152">
        <v>205019.41249999995</v>
      </c>
      <c r="D32" s="152">
        <f t="shared" si="5"/>
        <v>970.80843302180665</v>
      </c>
      <c r="E32" s="153">
        <f t="shared" si="6"/>
        <v>4.7352024922118485E-3</v>
      </c>
      <c r="F32" s="154">
        <f>D32</f>
        <v>970.80843302180665</v>
      </c>
      <c r="H32" s="78">
        <v>5500</v>
      </c>
      <c r="I32" s="48">
        <f>$B28*(I$3+I$4*($C28-I$3))</f>
        <v>240.49283629283477</v>
      </c>
    </row>
    <row r="33" spans="1:9" ht="16.5" thickTop="1" x14ac:dyDescent="0.25">
      <c r="A33" s="117" t="s">
        <v>133</v>
      </c>
      <c r="B33" s="16"/>
      <c r="C33" s="16"/>
      <c r="D33" s="16"/>
      <c r="E33" s="16"/>
      <c r="F33" s="16"/>
      <c r="H33" s="178">
        <v>10500</v>
      </c>
      <c r="I33" s="48">
        <f>$B29*(I$3+I$4*($C29-I$3))</f>
        <v>238.25745155763235</v>
      </c>
    </row>
    <row r="34" spans="1:9" ht="15.75" x14ac:dyDescent="0.25">
      <c r="A34" s="160" t="s">
        <v>167</v>
      </c>
      <c r="H34" s="181">
        <v>11000</v>
      </c>
      <c r="I34" s="48">
        <f>$B30*(I$3+I$4*($C30-I$3))</f>
        <v>2.013766337736473</v>
      </c>
    </row>
    <row r="35" spans="1:9" x14ac:dyDescent="0.25">
      <c r="H35" s="179">
        <v>100000</v>
      </c>
      <c r="I35" s="48">
        <f>$B31*(I$3+I$5)</f>
        <v>456.62472371604099</v>
      </c>
    </row>
    <row r="36" spans="1:9" x14ac:dyDescent="0.25">
      <c r="A36" t="s">
        <v>170</v>
      </c>
      <c r="B36" s="46">
        <v>9.1838006230529595E-2</v>
      </c>
      <c r="H36" s="19" t="s">
        <v>160</v>
      </c>
      <c r="I36" s="48">
        <f>$B32*(I$3+I$5)</f>
        <v>23.676012461059191</v>
      </c>
    </row>
    <row r="37" spans="1:9" x14ac:dyDescent="0.25">
      <c r="A37" t="s">
        <v>171</v>
      </c>
      <c r="B37" s="45">
        <v>24799.739535278142</v>
      </c>
      <c r="H37" s="19" t="s">
        <v>161</v>
      </c>
      <c r="I37" s="48">
        <f>SUM(I29:I36)</f>
        <v>1371.681026813902</v>
      </c>
    </row>
    <row r="38" spans="1:9" x14ac:dyDescent="0.25">
      <c r="A38" t="s">
        <v>175</v>
      </c>
      <c r="B38">
        <f>B36*(H34-H33)/(H35-H33)</f>
        <v>5.1306148732139438E-4</v>
      </c>
      <c r="H38" s="19" t="s">
        <v>162</v>
      </c>
      <c r="I38" s="48">
        <f>I23-I37</f>
        <v>3442.5330682016724</v>
      </c>
    </row>
    <row r="39" spans="1:9" ht="15.75" thickBot="1" x14ac:dyDescent="0.3">
      <c r="A39" t="s">
        <v>176</v>
      </c>
      <c r="B39">
        <f>(10500+H34)/2</f>
        <v>10750</v>
      </c>
      <c r="H39" s="151" t="s">
        <v>111</v>
      </c>
      <c r="I39" s="180">
        <f>I38/I23</f>
        <v>0.71507685372071839</v>
      </c>
    </row>
    <row r="40" spans="1:9" ht="16.5" thickTop="1" x14ac:dyDescent="0.25">
      <c r="A40" t="s">
        <v>177</v>
      </c>
      <c r="B40">
        <f>(B36*B37-B38*B39)/B31</f>
        <v>24878.670656262853</v>
      </c>
      <c r="H40" s="113" t="s">
        <v>166</v>
      </c>
    </row>
    <row r="41" spans="1:9" x14ac:dyDescent="0.25">
      <c r="H41" s="103" t="s">
        <v>172</v>
      </c>
    </row>
    <row r="42" spans="1:9" x14ac:dyDescent="0.25">
      <c r="H42" s="103" t="s">
        <v>168</v>
      </c>
    </row>
    <row r="43" spans="1:9" x14ac:dyDescent="0.25">
      <c r="H43" s="103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5"/>
  <sheetViews>
    <sheetView topLeftCell="BV1" workbookViewId="0">
      <selection activeCell="CE3" sqref="CE3"/>
    </sheetView>
  </sheetViews>
  <sheetFormatPr defaultRowHeight="15" x14ac:dyDescent="0.25"/>
  <cols>
    <col min="2" max="28" width="10.28515625" customWidth="1"/>
    <col min="30" max="30" width="23" bestFit="1" customWidth="1"/>
    <col min="31" max="31" width="11.7109375" customWidth="1"/>
    <col min="32" max="33" width="11.5703125" customWidth="1"/>
    <col min="34" max="34" width="16.42578125" bestFit="1" customWidth="1"/>
    <col min="35" max="35" width="13.140625" style="2" customWidth="1"/>
    <col min="36" max="36" width="12.7109375" customWidth="1"/>
    <col min="37" max="51" width="11.7109375" customWidth="1"/>
    <col min="53" max="53" width="14" customWidth="1"/>
    <col min="54" max="54" width="12.140625" bestFit="1" customWidth="1"/>
    <col min="55" max="69" width="10" customWidth="1"/>
    <col min="70" max="70" width="11" bestFit="1" customWidth="1"/>
    <col min="71" max="71" width="13.5703125" customWidth="1"/>
    <col min="72" max="72" width="12.140625" bestFit="1" customWidth="1"/>
    <col min="73" max="74" width="11.85546875" customWidth="1"/>
    <col min="75" max="75" width="11.7109375" customWidth="1"/>
    <col min="78" max="78" width="24.28515625" customWidth="1"/>
    <col min="79" max="81" width="11.5703125" bestFit="1" customWidth="1"/>
  </cols>
  <sheetData>
    <row r="1" spans="1:81" ht="15.75" thickTop="1" x14ac:dyDescent="0.25">
      <c r="A1" s="42" t="s">
        <v>19</v>
      </c>
      <c r="B1" s="17" t="s">
        <v>20</v>
      </c>
      <c r="C1" s="17" t="s">
        <v>21</v>
      </c>
      <c r="D1" s="17" t="s">
        <v>22</v>
      </c>
      <c r="E1" s="17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7" t="s">
        <v>30</v>
      </c>
      <c r="M1" s="17" t="s">
        <v>31</v>
      </c>
      <c r="N1" s="17" t="s">
        <v>32</v>
      </c>
      <c r="O1" s="17" t="s">
        <v>33</v>
      </c>
      <c r="P1" s="17" t="s">
        <v>34</v>
      </c>
      <c r="Q1" s="17" t="s">
        <v>35</v>
      </c>
      <c r="R1" s="17" t="s">
        <v>36</v>
      </c>
      <c r="S1" s="17" t="s">
        <v>37</v>
      </c>
      <c r="T1" s="17" t="s">
        <v>38</v>
      </c>
      <c r="U1" s="17" t="s">
        <v>39</v>
      </c>
      <c r="V1" s="17" t="s">
        <v>40</v>
      </c>
      <c r="W1" s="17" t="s">
        <v>41</v>
      </c>
      <c r="X1" s="17" t="s">
        <v>42</v>
      </c>
      <c r="Y1" s="17" t="s">
        <v>43</v>
      </c>
      <c r="Z1" s="17" t="s">
        <v>44</v>
      </c>
      <c r="AA1" s="17" t="s">
        <v>45</v>
      </c>
      <c r="AB1" s="18" t="s">
        <v>46</v>
      </c>
      <c r="AD1" s="52" t="s">
        <v>14</v>
      </c>
      <c r="AE1" s="53">
        <v>2009</v>
      </c>
      <c r="AF1" s="53">
        <v>2010</v>
      </c>
      <c r="AG1" s="54">
        <v>2011</v>
      </c>
      <c r="AI1" s="64"/>
      <c r="AJ1" s="17" t="s">
        <v>6</v>
      </c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6"/>
      <c r="BA1" s="64"/>
      <c r="BB1" s="17" t="s">
        <v>6</v>
      </c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6"/>
      <c r="BS1" s="64"/>
      <c r="BT1" s="65"/>
      <c r="BU1" s="65"/>
      <c r="BV1" s="17" t="s">
        <v>115</v>
      </c>
      <c r="BW1" s="66"/>
      <c r="BY1" s="4"/>
      <c r="BZ1" s="52" t="s">
        <v>14</v>
      </c>
      <c r="CA1" s="53">
        <v>2010</v>
      </c>
      <c r="CB1" s="54">
        <v>2011</v>
      </c>
    </row>
    <row r="2" spans="1:81" x14ac:dyDescent="0.25">
      <c r="A2" s="41" t="s">
        <v>20</v>
      </c>
      <c r="B2" s="43">
        <v>1482715.95</v>
      </c>
      <c r="C2" s="43">
        <v>613644.31999999995</v>
      </c>
      <c r="D2" s="43">
        <v>128825.35999999997</v>
      </c>
      <c r="E2" s="43">
        <v>47141.80999999999</v>
      </c>
      <c r="F2" s="43">
        <v>31106.399999999998</v>
      </c>
      <c r="G2" s="43">
        <v>3778.2400000000007</v>
      </c>
      <c r="H2" s="43">
        <v>4440.5600000000004</v>
      </c>
      <c r="I2" s="43">
        <v>4289.2600000000011</v>
      </c>
      <c r="J2" s="43">
        <v>7419.86</v>
      </c>
      <c r="K2" s="43">
        <v>1393.06</v>
      </c>
      <c r="L2" s="43">
        <v>4657.93</v>
      </c>
      <c r="M2" s="43">
        <v>3846.4399999999996</v>
      </c>
      <c r="N2" s="43">
        <v>316.62</v>
      </c>
      <c r="O2" s="43">
        <v>862.40000000000009</v>
      </c>
      <c r="P2" s="43">
        <v>549.81000000000006</v>
      </c>
      <c r="Q2" s="43">
        <v>0</v>
      </c>
      <c r="R2" s="43">
        <v>0</v>
      </c>
      <c r="S2" s="43">
        <v>0</v>
      </c>
      <c r="T2" s="43">
        <v>0</v>
      </c>
      <c r="U2" s="43">
        <v>0</v>
      </c>
      <c r="V2" s="43">
        <v>0</v>
      </c>
      <c r="W2" s="43">
        <v>0</v>
      </c>
      <c r="X2" s="43">
        <v>0</v>
      </c>
      <c r="Y2" s="43">
        <v>0</v>
      </c>
      <c r="Z2" s="43">
        <v>0</v>
      </c>
      <c r="AA2" s="43">
        <v>0</v>
      </c>
      <c r="AB2" s="51">
        <v>0</v>
      </c>
      <c r="AD2" s="19" t="s">
        <v>70</v>
      </c>
      <c r="AE2" s="55">
        <v>96300</v>
      </c>
      <c r="AF2" s="55">
        <v>94524</v>
      </c>
      <c r="AG2" s="56">
        <v>24813</v>
      </c>
      <c r="AI2" s="41" t="s">
        <v>47</v>
      </c>
      <c r="AJ2" s="21" t="s">
        <v>48</v>
      </c>
      <c r="AK2" s="21" t="s">
        <v>49</v>
      </c>
      <c r="AL2" s="21" t="s">
        <v>50</v>
      </c>
      <c r="AM2" s="21" t="s">
        <v>51</v>
      </c>
      <c r="AN2" s="21" t="s">
        <v>52</v>
      </c>
      <c r="AO2" s="21" t="s">
        <v>53</v>
      </c>
      <c r="AP2" s="21" t="s">
        <v>54</v>
      </c>
      <c r="AQ2" s="21" t="s">
        <v>55</v>
      </c>
      <c r="AR2" s="21" t="s">
        <v>56</v>
      </c>
      <c r="AS2" s="21" t="s">
        <v>57</v>
      </c>
      <c r="AT2" s="21" t="s">
        <v>58</v>
      </c>
      <c r="AU2" s="21" t="s">
        <v>59</v>
      </c>
      <c r="AV2" s="21" t="s">
        <v>60</v>
      </c>
      <c r="AW2" s="21" t="s">
        <v>61</v>
      </c>
      <c r="AX2" s="21" t="s">
        <v>62</v>
      </c>
      <c r="AY2" s="22" t="s">
        <v>63</v>
      </c>
      <c r="BA2" s="41" t="s">
        <v>47</v>
      </c>
      <c r="BB2" s="21" t="s">
        <v>48</v>
      </c>
      <c r="BC2" s="21" t="s">
        <v>49</v>
      </c>
      <c r="BD2" s="21" t="s">
        <v>50</v>
      </c>
      <c r="BE2" s="21" t="s">
        <v>51</v>
      </c>
      <c r="BF2" s="21" t="s">
        <v>52</v>
      </c>
      <c r="BG2" s="21" t="s">
        <v>53</v>
      </c>
      <c r="BH2" s="21" t="s">
        <v>54</v>
      </c>
      <c r="BI2" s="21" t="s">
        <v>55</v>
      </c>
      <c r="BJ2" s="21" t="s">
        <v>56</v>
      </c>
      <c r="BK2" s="21" t="s">
        <v>57</v>
      </c>
      <c r="BL2" s="21" t="s">
        <v>58</v>
      </c>
      <c r="BM2" s="21" t="s">
        <v>59</v>
      </c>
      <c r="BN2" s="21" t="s">
        <v>60</v>
      </c>
      <c r="BO2" s="21" t="s">
        <v>61</v>
      </c>
      <c r="BP2" s="21" t="s">
        <v>62</v>
      </c>
      <c r="BQ2" s="22" t="s">
        <v>63</v>
      </c>
      <c r="BS2" s="50"/>
      <c r="BT2" s="21" t="s">
        <v>6</v>
      </c>
      <c r="BU2" s="25"/>
      <c r="BV2" s="21" t="s">
        <v>116</v>
      </c>
      <c r="BW2" s="22" t="s">
        <v>117</v>
      </c>
      <c r="BZ2" s="19" t="s">
        <v>71</v>
      </c>
      <c r="CA2" s="43">
        <v>41590560</v>
      </c>
      <c r="CB2" s="51">
        <v>12009492</v>
      </c>
    </row>
    <row r="3" spans="1:81" x14ac:dyDescent="0.25">
      <c r="A3" s="41" t="s">
        <v>21</v>
      </c>
      <c r="B3" s="43"/>
      <c r="C3" s="43">
        <v>1156766.6399999999</v>
      </c>
      <c r="D3" s="43">
        <v>724585.06</v>
      </c>
      <c r="E3" s="43">
        <v>74236.209999999963</v>
      </c>
      <c r="F3" s="43">
        <v>265528.74</v>
      </c>
      <c r="G3" s="43">
        <v>12784.01</v>
      </c>
      <c r="H3" s="43">
        <v>8133.7199999999993</v>
      </c>
      <c r="I3" s="43">
        <v>5601.170000000001</v>
      </c>
      <c r="J3" s="43">
        <v>3278.44</v>
      </c>
      <c r="K3" s="43">
        <v>2232.2399999999998</v>
      </c>
      <c r="L3" s="43">
        <v>220</v>
      </c>
      <c r="M3" s="43">
        <v>960.57999999999993</v>
      </c>
      <c r="N3" s="43">
        <v>5106.84</v>
      </c>
      <c r="O3" s="43">
        <v>525.98</v>
      </c>
      <c r="P3" s="43">
        <v>65.52</v>
      </c>
      <c r="Q3" s="43">
        <v>1032.45</v>
      </c>
      <c r="R3" s="43">
        <v>0</v>
      </c>
      <c r="S3" s="43">
        <v>0</v>
      </c>
      <c r="T3" s="43">
        <v>0</v>
      </c>
      <c r="U3" s="43">
        <v>0</v>
      </c>
      <c r="V3" s="43">
        <v>0</v>
      </c>
      <c r="W3" s="43">
        <v>0</v>
      </c>
      <c r="X3" s="43">
        <v>0</v>
      </c>
      <c r="Y3" s="43">
        <v>0</v>
      </c>
      <c r="Z3" s="43">
        <v>0</v>
      </c>
      <c r="AA3" s="43">
        <v>0</v>
      </c>
      <c r="AB3" s="51">
        <v>0</v>
      </c>
      <c r="AD3" s="19" t="s">
        <v>77</v>
      </c>
      <c r="AE3" s="57">
        <v>400</v>
      </c>
      <c r="AF3" s="57">
        <v>440</v>
      </c>
      <c r="AG3" s="58">
        <v>484</v>
      </c>
      <c r="AI3" s="67" t="s">
        <v>20</v>
      </c>
      <c r="AJ3" s="43">
        <f>SUM(B2:AB2)</f>
        <v>2334988.02</v>
      </c>
      <c r="AK3" s="43">
        <f>SUM($B2:B2)</f>
        <v>1482715.95</v>
      </c>
      <c r="AL3" s="43">
        <f>SUM($B2:C2)</f>
        <v>2096360.27</v>
      </c>
      <c r="AM3" s="43">
        <f>SUM($B2:D2)</f>
        <v>2225185.63</v>
      </c>
      <c r="AN3" s="43">
        <f>SUM($B2:E2)</f>
        <v>2272327.44</v>
      </c>
      <c r="AO3" s="43">
        <f>SUM($B2:F2)</f>
        <v>2303433.84</v>
      </c>
      <c r="AP3" s="43">
        <f>SUM($B2:G2)</f>
        <v>2307212.08</v>
      </c>
      <c r="AQ3" s="43">
        <f>SUM($B2:H2)</f>
        <v>2311652.64</v>
      </c>
      <c r="AR3" s="43">
        <f>SUM($B2:I2)</f>
        <v>2315941.9</v>
      </c>
      <c r="AS3" s="43">
        <f>SUM($B2:J2)</f>
        <v>2323361.7599999998</v>
      </c>
      <c r="AT3" s="43">
        <f>SUM($B2:K2)</f>
        <v>2324754.8199999998</v>
      </c>
      <c r="AU3" s="43">
        <f>SUM($B2:L2)</f>
        <v>2329412.75</v>
      </c>
      <c r="AV3" s="43">
        <f>SUM($B2:M2)</f>
        <v>2333259.19</v>
      </c>
      <c r="AW3" s="43">
        <f>SUM($B2:N2)</f>
        <v>2333575.81</v>
      </c>
      <c r="AX3" s="43">
        <f>SUM($B2:O2)</f>
        <v>2334438.21</v>
      </c>
      <c r="AY3" s="51">
        <f>SUM($B2:P2)</f>
        <v>2334988.02</v>
      </c>
      <c r="BA3" s="67" t="s">
        <v>20</v>
      </c>
      <c r="BB3" s="43">
        <f>AJ3</f>
        <v>2334988.02</v>
      </c>
      <c r="BC3" s="70">
        <f>AK3/$BB3</f>
        <v>0.63499938213815754</v>
      </c>
      <c r="BD3" s="70">
        <f>AL3/$BB3</f>
        <v>0.89780343712427269</v>
      </c>
      <c r="BE3" s="70">
        <v>0.95297518057501629</v>
      </c>
      <c r="BF3" s="70">
        <v>0.97316449615017719</v>
      </c>
      <c r="BG3" s="70">
        <v>0.9864863632148313</v>
      </c>
      <c r="BH3" s="70">
        <v>0.98810446145244035</v>
      </c>
      <c r="BI3" s="70">
        <v>0.99000620996762123</v>
      </c>
      <c r="BJ3" s="70">
        <v>0.99184316157647778</v>
      </c>
      <c r="BK3" s="70">
        <v>0.99502084811552893</v>
      </c>
      <c r="BL3" s="70">
        <v>0.99561745074820551</v>
      </c>
      <c r="BM3" s="70">
        <v>0.99761229181809674</v>
      </c>
      <c r="BN3" s="70">
        <v>0.9992595979143396</v>
      </c>
      <c r="BO3" s="70">
        <v>0.99939519604044913</v>
      </c>
      <c r="BP3" s="70">
        <v>0.9997645341238196</v>
      </c>
      <c r="BQ3" s="71">
        <v>1</v>
      </c>
      <c r="BS3" s="41" t="s">
        <v>47</v>
      </c>
      <c r="BT3" s="21" t="s">
        <v>48</v>
      </c>
      <c r="BU3" s="21" t="s">
        <v>118</v>
      </c>
      <c r="BV3" s="21" t="s">
        <v>119</v>
      </c>
      <c r="BW3" s="22" t="s">
        <v>96</v>
      </c>
      <c r="BZ3" s="19" t="s">
        <v>78</v>
      </c>
      <c r="CA3" s="76">
        <v>0.75</v>
      </c>
      <c r="CB3" s="77">
        <v>0.8</v>
      </c>
    </row>
    <row r="4" spans="1:81" x14ac:dyDescent="0.25">
      <c r="A4" s="41" t="s">
        <v>22</v>
      </c>
      <c r="B4" s="43"/>
      <c r="C4" s="43"/>
      <c r="D4" s="43">
        <v>1287714.03</v>
      </c>
      <c r="E4" s="43">
        <v>614023.26</v>
      </c>
      <c r="F4" s="43">
        <v>372318.27999999991</v>
      </c>
      <c r="G4" s="43">
        <v>43931.409999999996</v>
      </c>
      <c r="H4" s="43">
        <v>8744.5299999999988</v>
      </c>
      <c r="I4" s="43">
        <v>6083.74</v>
      </c>
      <c r="J4" s="43">
        <v>25596.6</v>
      </c>
      <c r="K4" s="43">
        <v>2609.3300000000004</v>
      </c>
      <c r="L4" s="43">
        <v>783.72</v>
      </c>
      <c r="M4" s="43">
        <v>1041.53</v>
      </c>
      <c r="N4" s="43">
        <v>3518.85</v>
      </c>
      <c r="O4" s="43">
        <v>331.3</v>
      </c>
      <c r="P4" s="43">
        <v>297.90000000000003</v>
      </c>
      <c r="Q4" s="43">
        <v>443.95000000000005</v>
      </c>
      <c r="R4" s="43">
        <v>12095.910000000002</v>
      </c>
      <c r="S4" s="43">
        <v>0</v>
      </c>
      <c r="T4" s="43">
        <v>0</v>
      </c>
      <c r="U4" s="43">
        <v>0</v>
      </c>
      <c r="V4" s="43">
        <v>0</v>
      </c>
      <c r="W4" s="43">
        <v>0</v>
      </c>
      <c r="X4" s="43">
        <v>0</v>
      </c>
      <c r="Y4" s="43">
        <v>0</v>
      </c>
      <c r="Z4" s="43">
        <v>0</v>
      </c>
      <c r="AA4" s="43">
        <v>0</v>
      </c>
      <c r="AB4" s="51">
        <v>0</v>
      </c>
      <c r="AD4" s="19" t="s">
        <v>71</v>
      </c>
      <c r="AE4" s="43">
        <f>AE2*AE3</f>
        <v>38520000</v>
      </c>
      <c r="AF4" s="43">
        <f t="shared" ref="AF4:AG4" si="0">AF2*AF3</f>
        <v>41590560</v>
      </c>
      <c r="AG4" s="51">
        <f t="shared" si="0"/>
        <v>12009492</v>
      </c>
      <c r="AH4" s="80"/>
      <c r="AI4" s="67" t="s">
        <v>21</v>
      </c>
      <c r="AJ4" s="43">
        <f t="shared" ref="AJ4:AJ14" si="1">SUM(B3:AB3)</f>
        <v>2261057.6</v>
      </c>
      <c r="AK4" s="43">
        <f>SUM($C3:C3)</f>
        <v>1156766.6399999999</v>
      </c>
      <c r="AL4" s="43">
        <f>SUM($C3:D3)</f>
        <v>1881351.7</v>
      </c>
      <c r="AM4" s="43">
        <f>SUM($C3:E3)</f>
        <v>1955587.91</v>
      </c>
      <c r="AN4" s="43">
        <f>SUM($C3:F3)</f>
        <v>2221116.65</v>
      </c>
      <c r="AO4" s="43">
        <f>SUM($C3:G3)</f>
        <v>2233900.6599999997</v>
      </c>
      <c r="AP4" s="43">
        <f>SUM($C3:H3)</f>
        <v>2242034.38</v>
      </c>
      <c r="AQ4" s="43">
        <f>SUM($C3:I3)</f>
        <v>2247635.5499999998</v>
      </c>
      <c r="AR4" s="43">
        <f>SUM($C3:J3)</f>
        <v>2250913.9899999998</v>
      </c>
      <c r="AS4" s="43">
        <f>SUM($C3:K3)</f>
        <v>2253146.23</v>
      </c>
      <c r="AT4" s="43">
        <f>SUM($C3:L3)</f>
        <v>2253366.23</v>
      </c>
      <c r="AU4" s="43">
        <f>SUM($C3:M3)</f>
        <v>2254326.81</v>
      </c>
      <c r="AV4" s="43">
        <f>SUM($C3:N3)</f>
        <v>2259433.65</v>
      </c>
      <c r="AW4" s="43">
        <f>SUM($C3:O3)</f>
        <v>2259959.63</v>
      </c>
      <c r="AX4" s="43">
        <f>SUM($C3:P3)</f>
        <v>2260025.15</v>
      </c>
      <c r="AY4" s="51">
        <f>SUM($C3:Q3)</f>
        <v>2261057.6</v>
      </c>
      <c r="BA4" s="67" t="s">
        <v>21</v>
      </c>
      <c r="BB4" s="43">
        <f t="shared" ref="BB4:BB14" si="2">AJ4</f>
        <v>2261057.6</v>
      </c>
      <c r="BC4" s="70">
        <f t="shared" ref="BC4:BD14" si="3">AK4/$BB4</f>
        <v>0.51160423334637728</v>
      </c>
      <c r="BD4" s="70">
        <f t="shared" si="3"/>
        <v>0.8320671264632975</v>
      </c>
      <c r="BE4" s="70">
        <v>0.86489964253896046</v>
      </c>
      <c r="BF4" s="70">
        <v>0.98233527973811896</v>
      </c>
      <c r="BG4" s="70">
        <v>0.9879892754611822</v>
      </c>
      <c r="BH4" s="70">
        <v>0.99158658319894188</v>
      </c>
      <c r="BI4" s="70">
        <v>0.99406381774617314</v>
      </c>
      <c r="BJ4" s="70">
        <v>0.99551377638499772</v>
      </c>
      <c r="BK4" s="70">
        <v>0.99650103119885136</v>
      </c>
      <c r="BL4" s="70">
        <v>0.99659833079882609</v>
      </c>
      <c r="BM4" s="70">
        <v>0.99702316738857066</v>
      </c>
      <c r="BN4" s="70">
        <v>0.99928177415736774</v>
      </c>
      <c r="BO4" s="70">
        <v>0.99951439981007106</v>
      </c>
      <c r="BP4" s="70">
        <v>0.99954337740002719</v>
      </c>
      <c r="BQ4" s="71">
        <v>1</v>
      </c>
      <c r="BR4" s="83"/>
      <c r="BS4" s="67" t="s">
        <v>32</v>
      </c>
      <c r="BT4" s="43">
        <f>SUM(B14:AB14)</f>
        <v>2751932.5699999994</v>
      </c>
      <c r="BU4" s="73">
        <v>1</v>
      </c>
      <c r="BV4" s="43">
        <f>BT4/BU4</f>
        <v>2751932.5699999994</v>
      </c>
      <c r="BW4" s="56">
        <f>BV4-BT4</f>
        <v>0</v>
      </c>
      <c r="BZ4" s="19" t="s">
        <v>84</v>
      </c>
      <c r="CA4" s="55">
        <f>CA2*CA3</f>
        <v>31192920</v>
      </c>
      <c r="CB4" s="56">
        <f>CB2*CB3</f>
        <v>9607593.5999999996</v>
      </c>
    </row>
    <row r="5" spans="1:81" x14ac:dyDescent="0.25">
      <c r="A5" s="41" t="s">
        <v>23</v>
      </c>
      <c r="B5" s="43"/>
      <c r="C5" s="43"/>
      <c r="D5" s="43"/>
      <c r="E5" s="43">
        <v>1400421.98</v>
      </c>
      <c r="F5" s="43">
        <v>764111</v>
      </c>
      <c r="G5" s="43">
        <v>185345.49000000017</v>
      </c>
      <c r="H5" s="43">
        <v>330872.61000000004</v>
      </c>
      <c r="I5" s="43">
        <v>11046.689999999997</v>
      </c>
      <c r="J5" s="43">
        <v>6401.16</v>
      </c>
      <c r="K5" s="43">
        <v>2111.7600000000002</v>
      </c>
      <c r="L5" s="43">
        <v>1596.78</v>
      </c>
      <c r="M5" s="43">
        <v>825.20000000000016</v>
      </c>
      <c r="N5" s="43">
        <v>3346.9799999999996</v>
      </c>
      <c r="O5" s="43">
        <v>544.06999999999994</v>
      </c>
      <c r="P5" s="43">
        <v>385.24</v>
      </c>
      <c r="Q5" s="43">
        <v>155.4</v>
      </c>
      <c r="R5" s="43">
        <v>39.6</v>
      </c>
      <c r="S5" s="43">
        <v>5065.53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43">
        <v>0</v>
      </c>
      <c r="AA5" s="43">
        <v>0</v>
      </c>
      <c r="AB5" s="51">
        <v>0</v>
      </c>
      <c r="AD5" s="19"/>
      <c r="AE5" s="20"/>
      <c r="AF5" s="20"/>
      <c r="AG5" s="44"/>
      <c r="AH5" s="81"/>
      <c r="AI5" s="67" t="s">
        <v>22</v>
      </c>
      <c r="AJ5" s="43">
        <f t="shared" si="1"/>
        <v>2379534.3400000003</v>
      </c>
      <c r="AK5" s="43">
        <f>SUM($D4:D4)</f>
        <v>1287714.03</v>
      </c>
      <c r="AL5" s="43">
        <f>SUM($D4:E4)</f>
        <v>1901737.29</v>
      </c>
      <c r="AM5" s="43">
        <f>SUM($D4:F4)</f>
        <v>2274055.5699999998</v>
      </c>
      <c r="AN5" s="43">
        <f>SUM($D4:G4)</f>
        <v>2317986.98</v>
      </c>
      <c r="AO5" s="43">
        <f>SUM($D4:H4)</f>
        <v>2326731.5099999998</v>
      </c>
      <c r="AP5" s="43">
        <f>SUM($D4:I4)</f>
        <v>2332815.25</v>
      </c>
      <c r="AQ5" s="43">
        <f>SUM($D4:J4)</f>
        <v>2358411.85</v>
      </c>
      <c r="AR5" s="43">
        <f>SUM($D4:K4)</f>
        <v>2361021.1800000002</v>
      </c>
      <c r="AS5" s="43">
        <f>SUM($D4:L4)</f>
        <v>2361804.9000000004</v>
      </c>
      <c r="AT5" s="43">
        <f>SUM($D4:M4)</f>
        <v>2362846.4300000002</v>
      </c>
      <c r="AU5" s="43">
        <f>SUM($D4:N4)</f>
        <v>2366365.2800000003</v>
      </c>
      <c r="AV5" s="43">
        <f>SUM($D4:O4)</f>
        <v>2366696.58</v>
      </c>
      <c r="AW5" s="43">
        <f>SUM($D4:P4)</f>
        <v>2366994.48</v>
      </c>
      <c r="AX5" s="43">
        <f>SUM($D4:Q4)</f>
        <v>2367438.4300000002</v>
      </c>
      <c r="AY5" s="51">
        <f>SUM($D4:R4)</f>
        <v>2379534.3400000003</v>
      </c>
      <c r="BA5" s="67" t="s">
        <v>22</v>
      </c>
      <c r="BB5" s="43">
        <f t="shared" si="2"/>
        <v>2379534.3400000003</v>
      </c>
      <c r="BC5" s="70">
        <f t="shared" si="3"/>
        <v>0.54116219646571684</v>
      </c>
      <c r="BD5" s="70">
        <f t="shared" si="3"/>
        <v>0.79920565046352721</v>
      </c>
      <c r="BE5" s="70">
        <v>0.95567251616129212</v>
      </c>
      <c r="BF5" s="70">
        <v>0.97413470401944258</v>
      </c>
      <c r="BG5" s="70">
        <v>0.97780959530090217</v>
      </c>
      <c r="BH5" s="70">
        <v>0.98036628880926324</v>
      </c>
      <c r="BI5" s="70">
        <v>0.99112326742046508</v>
      </c>
      <c r="BJ5" s="70">
        <v>0.9922198391135636</v>
      </c>
      <c r="BK5" s="70">
        <v>0.99254919767201177</v>
      </c>
      <c r="BL5" s="70">
        <v>0.99298690095810926</v>
      </c>
      <c r="BM5" s="70">
        <v>0.99446569869632562</v>
      </c>
      <c r="BN5" s="70">
        <v>0.99460492761789676</v>
      </c>
      <c r="BO5" s="70">
        <v>0.99473012017973217</v>
      </c>
      <c r="BP5" s="70">
        <v>0.99491669029664009</v>
      </c>
      <c r="BQ5" s="71">
        <v>1</v>
      </c>
      <c r="BR5" s="83"/>
      <c r="BS5" s="67" t="s">
        <v>33</v>
      </c>
      <c r="BT5" s="43">
        <f t="shared" ref="BT5:BT18" si="4">SUM(B15:AB15)</f>
        <v>2277418.1599999997</v>
      </c>
      <c r="BU5" s="73">
        <v>0.99911025594210179</v>
      </c>
      <c r="BV5" s="43">
        <f t="shared" ref="BV5:BV18" si="5">BT5/BU5</f>
        <v>2279446.2837862968</v>
      </c>
      <c r="BW5" s="56">
        <f t="shared" ref="BW5:BW18" si="6">BV5-BT5</f>
        <v>2028.1237862971611</v>
      </c>
      <c r="BZ5" s="19" t="s">
        <v>90</v>
      </c>
      <c r="CA5" s="55">
        <f>SUM(B14:AB25)</f>
        <v>31612803.99000001</v>
      </c>
      <c r="CB5" s="56">
        <f>SUM(B26:AB28)</f>
        <v>6799168.3299999991</v>
      </c>
    </row>
    <row r="6" spans="1:81" x14ac:dyDescent="0.25">
      <c r="A6" s="41" t="s">
        <v>24</v>
      </c>
      <c r="B6" s="43"/>
      <c r="C6" s="43"/>
      <c r="D6" s="43"/>
      <c r="E6" s="43"/>
      <c r="F6" s="43">
        <v>1444299.25</v>
      </c>
      <c r="G6" s="43">
        <v>1056840.1800000016</v>
      </c>
      <c r="H6" s="43">
        <v>512265.13000000041</v>
      </c>
      <c r="I6" s="43">
        <v>45710.14</v>
      </c>
      <c r="J6" s="43">
        <v>23255.759999999998</v>
      </c>
      <c r="K6" s="43">
        <v>17665.79</v>
      </c>
      <c r="L6" s="43">
        <v>3660</v>
      </c>
      <c r="M6" s="43">
        <v>6535.7900000000009</v>
      </c>
      <c r="N6" s="43">
        <v>2770.37</v>
      </c>
      <c r="O6" s="43">
        <v>560.5</v>
      </c>
      <c r="P6" s="43">
        <v>599.87999999999988</v>
      </c>
      <c r="Q6" s="43">
        <v>4193.2000000000007</v>
      </c>
      <c r="R6" s="43">
        <v>2028.33</v>
      </c>
      <c r="S6" s="43">
        <v>6772.0700000000006</v>
      </c>
      <c r="T6" s="43">
        <v>76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51">
        <v>0</v>
      </c>
      <c r="AD6" s="19" t="s">
        <v>95</v>
      </c>
      <c r="AE6" s="20"/>
      <c r="AF6" s="20"/>
      <c r="AG6" s="44"/>
      <c r="AH6" s="82"/>
      <c r="AI6" s="67" t="s">
        <v>23</v>
      </c>
      <c r="AJ6" s="43">
        <f t="shared" si="1"/>
        <v>2712269.4899999998</v>
      </c>
      <c r="AK6" s="43">
        <f>SUM($E5:E5)</f>
        <v>1400421.98</v>
      </c>
      <c r="AL6" s="43">
        <f>SUM($E5:F5)</f>
        <v>2164532.98</v>
      </c>
      <c r="AM6" s="43">
        <f>SUM($E5:G5)</f>
        <v>2349878.4700000002</v>
      </c>
      <c r="AN6" s="43">
        <f>SUM($E5:H5)</f>
        <v>2680751.08</v>
      </c>
      <c r="AO6" s="43">
        <f>SUM($E5:I5)</f>
        <v>2691797.77</v>
      </c>
      <c r="AP6" s="43">
        <f>SUM($E5:J5)</f>
        <v>2698198.93</v>
      </c>
      <c r="AQ6" s="43">
        <f>SUM($E5:K5)</f>
        <v>2700310.69</v>
      </c>
      <c r="AR6" s="43">
        <f>SUM($E5:L5)</f>
        <v>2701907.4699999997</v>
      </c>
      <c r="AS6" s="43">
        <f>SUM($E5:M5)</f>
        <v>2702732.67</v>
      </c>
      <c r="AT6" s="43">
        <f>SUM($E5:N5)</f>
        <v>2706079.65</v>
      </c>
      <c r="AU6" s="43">
        <f>SUM($E5:O5)</f>
        <v>2706623.7199999997</v>
      </c>
      <c r="AV6" s="43">
        <f>SUM($E5:P5)</f>
        <v>2707008.96</v>
      </c>
      <c r="AW6" s="43">
        <f>SUM($E5:Q5)</f>
        <v>2707164.36</v>
      </c>
      <c r="AX6" s="43">
        <f>SUM($E5:R5)</f>
        <v>2707203.96</v>
      </c>
      <c r="AY6" s="51">
        <f>SUM($E5:S5)</f>
        <v>2712269.4899999998</v>
      </c>
      <c r="BA6" s="67" t="s">
        <v>23</v>
      </c>
      <c r="BB6" s="43">
        <f t="shared" si="2"/>
        <v>2712269.4899999998</v>
      </c>
      <c r="BC6" s="70">
        <f t="shared" si="3"/>
        <v>0.51632847884890676</v>
      </c>
      <c r="BD6" s="70">
        <f t="shared" si="3"/>
        <v>0.79805232775744572</v>
      </c>
      <c r="BE6" s="70">
        <v>0.86638826955207926</v>
      </c>
      <c r="BF6" s="70">
        <v>0.98837932214471813</v>
      </c>
      <c r="BG6" s="70">
        <v>0.99245218070126218</v>
      </c>
      <c r="BH6" s="70">
        <v>0.99481225591635458</v>
      </c>
      <c r="BI6" s="70">
        <v>0.9955908511141347</v>
      </c>
      <c r="BJ6" s="70">
        <v>0.99617957579871608</v>
      </c>
      <c r="BK6" s="70">
        <v>0.99648382285198367</v>
      </c>
      <c r="BL6" s="70">
        <v>0.99771783739675524</v>
      </c>
      <c r="BM6" s="70">
        <v>0.99791843324536311</v>
      </c>
      <c r="BN6" s="70">
        <v>0.99806046927881054</v>
      </c>
      <c r="BO6" s="70">
        <v>0.99811776447037348</v>
      </c>
      <c r="BP6" s="70">
        <v>0.9981323647894591</v>
      </c>
      <c r="BQ6" s="71">
        <v>1</v>
      </c>
      <c r="BR6" s="83"/>
      <c r="BS6" s="67" t="s">
        <v>34</v>
      </c>
      <c r="BT6" s="43">
        <f t="shared" si="4"/>
        <v>2868881.0900000008</v>
      </c>
      <c r="BU6" s="73">
        <v>0.99877086248213365</v>
      </c>
      <c r="BV6" s="43">
        <f t="shared" si="5"/>
        <v>2872411.6789613697</v>
      </c>
      <c r="BW6" s="56">
        <f t="shared" si="6"/>
        <v>3530.5889613688923</v>
      </c>
      <c r="BZ6" s="78" t="s">
        <v>96</v>
      </c>
      <c r="CA6" s="55">
        <f>CA4-CA5</f>
        <v>-419883.99000000954</v>
      </c>
      <c r="CB6" s="56">
        <f>CB4-CB5</f>
        <v>2808425.2700000005</v>
      </c>
    </row>
    <row r="7" spans="1:81" x14ac:dyDescent="0.25">
      <c r="A7" s="41" t="s">
        <v>25</v>
      </c>
      <c r="B7" s="43"/>
      <c r="C7" s="43"/>
      <c r="D7" s="43"/>
      <c r="E7" s="43"/>
      <c r="F7" s="43"/>
      <c r="G7" s="43">
        <v>1618809.72</v>
      </c>
      <c r="H7" s="43">
        <v>745859.74</v>
      </c>
      <c r="I7" s="43">
        <v>128603.29000000001</v>
      </c>
      <c r="J7" s="43">
        <v>116147.04</v>
      </c>
      <c r="K7" s="43">
        <v>6802.12</v>
      </c>
      <c r="L7" s="43">
        <v>5156.1399999999994</v>
      </c>
      <c r="M7" s="43">
        <v>2707.78</v>
      </c>
      <c r="N7" s="43">
        <v>2597.96</v>
      </c>
      <c r="O7" s="43">
        <v>2524.41</v>
      </c>
      <c r="P7" s="43">
        <v>230.68</v>
      </c>
      <c r="Q7" s="43">
        <v>449.05</v>
      </c>
      <c r="R7" s="43">
        <v>1590.6199999999997</v>
      </c>
      <c r="S7" s="43">
        <v>4489.68</v>
      </c>
      <c r="T7" s="43">
        <v>0</v>
      </c>
      <c r="U7" s="43">
        <v>415.37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51">
        <v>0</v>
      </c>
      <c r="AD7" s="59" t="s">
        <v>99</v>
      </c>
      <c r="AE7" s="55">
        <f>SUM(B2:M13)</f>
        <v>29373796.209999997</v>
      </c>
      <c r="AF7" s="20"/>
      <c r="AG7" s="44"/>
      <c r="AH7" s="82"/>
      <c r="AI7" s="67" t="s">
        <v>24</v>
      </c>
      <c r="AJ7" s="43">
        <f t="shared" si="1"/>
        <v>3127232.390000002</v>
      </c>
      <c r="AK7" s="43">
        <f>SUM($F6:F6)</f>
        <v>1444299.25</v>
      </c>
      <c r="AL7" s="43">
        <f>SUM($F6:G6)</f>
        <v>2501139.4300000016</v>
      </c>
      <c r="AM7" s="43">
        <f>SUM($F6:H6)</f>
        <v>3013404.5600000019</v>
      </c>
      <c r="AN7" s="43">
        <f>SUM($F6:I6)</f>
        <v>3059114.700000002</v>
      </c>
      <c r="AO7" s="43">
        <f>SUM($F6:J6)</f>
        <v>3082370.4600000018</v>
      </c>
      <c r="AP7" s="43">
        <f>SUM($F6:K6)</f>
        <v>3100036.2500000019</v>
      </c>
      <c r="AQ7" s="43">
        <f>SUM($F6:L6)</f>
        <v>3103696.2500000019</v>
      </c>
      <c r="AR7" s="43">
        <f>SUM($F6:M6)</f>
        <v>3110232.0400000019</v>
      </c>
      <c r="AS7" s="43">
        <f>SUM($F6:N6)</f>
        <v>3113002.410000002</v>
      </c>
      <c r="AT7" s="43">
        <f>SUM($F6:O6)</f>
        <v>3113562.910000002</v>
      </c>
      <c r="AU7" s="43">
        <f>SUM($F6:P6)</f>
        <v>3114162.7900000019</v>
      </c>
      <c r="AV7" s="43">
        <f>SUM($F6:Q6)</f>
        <v>3118355.9900000021</v>
      </c>
      <c r="AW7" s="43">
        <f>SUM($F6:R6)</f>
        <v>3120384.3200000022</v>
      </c>
      <c r="AX7" s="43">
        <f>SUM($F6:S6)</f>
        <v>3127156.390000002</v>
      </c>
      <c r="AY7" s="51">
        <f>SUM($F6:T6)</f>
        <v>3127232.390000002</v>
      </c>
      <c r="BA7" s="67" t="s">
        <v>24</v>
      </c>
      <c r="BB7" s="43">
        <f t="shared" si="2"/>
        <v>3127232.390000002</v>
      </c>
      <c r="BC7" s="70">
        <f t="shared" si="3"/>
        <v>0.46184583359345388</v>
      </c>
      <c r="BD7" s="70">
        <f t="shared" si="3"/>
        <v>0.79979327343817896</v>
      </c>
      <c r="BE7" s="70">
        <v>0.96360109649542225</v>
      </c>
      <c r="BF7" s="70">
        <v>0.97821789956582028</v>
      </c>
      <c r="BG7" s="70">
        <v>0.98565443036997957</v>
      </c>
      <c r="BH7" s="70">
        <v>0.99130344771083667</v>
      </c>
      <c r="BI7" s="70">
        <v>0.99247381164403958</v>
      </c>
      <c r="BJ7" s="70">
        <v>0.9945637714503206</v>
      </c>
      <c r="BK7" s="70">
        <v>0.99544965700486365</v>
      </c>
      <c r="BL7" s="70">
        <v>0.99562888896785828</v>
      </c>
      <c r="BM7" s="70">
        <v>0.99582071353513957</v>
      </c>
      <c r="BN7" s="70">
        <v>0.99716157966757313</v>
      </c>
      <c r="BO7" s="70">
        <v>0.99781018192894844</v>
      </c>
      <c r="BP7" s="70">
        <v>0.99997569736094993</v>
      </c>
      <c r="BQ7" s="71">
        <v>1</v>
      </c>
      <c r="BR7" s="83"/>
      <c r="BS7" s="67" t="s">
        <v>35</v>
      </c>
      <c r="BT7" s="43">
        <f t="shared" si="4"/>
        <v>2456518.1999999997</v>
      </c>
      <c r="BU7" s="73">
        <v>0.997936314815556</v>
      </c>
      <c r="BV7" s="43">
        <f t="shared" si="5"/>
        <v>2461598.1636604001</v>
      </c>
      <c r="BW7" s="56">
        <f t="shared" si="6"/>
        <v>5079.9636604003608</v>
      </c>
      <c r="BZ7" s="19"/>
      <c r="CA7" s="60"/>
      <c r="CB7" s="79"/>
    </row>
    <row r="8" spans="1:81" ht="15.75" thickBot="1" x14ac:dyDescent="0.3">
      <c r="A8" s="41" t="s">
        <v>26</v>
      </c>
      <c r="B8" s="43"/>
      <c r="C8" s="43"/>
      <c r="D8" s="43"/>
      <c r="E8" s="43"/>
      <c r="F8" s="43"/>
      <c r="G8" s="43"/>
      <c r="H8" s="43">
        <v>1708619.77</v>
      </c>
      <c r="I8" s="43">
        <v>697744.29</v>
      </c>
      <c r="J8" s="43">
        <v>182040.36999999988</v>
      </c>
      <c r="K8" s="43">
        <v>42142.959999999985</v>
      </c>
      <c r="L8" s="43">
        <v>12931.419999999998</v>
      </c>
      <c r="M8" s="43">
        <v>11598.81</v>
      </c>
      <c r="N8" s="43">
        <v>7191.1</v>
      </c>
      <c r="O8" s="43">
        <v>1071.0099999999998</v>
      </c>
      <c r="P8" s="43">
        <v>264.09000000000003</v>
      </c>
      <c r="Q8" s="43">
        <v>4869.51</v>
      </c>
      <c r="R8" s="43">
        <v>309.47000000000003</v>
      </c>
      <c r="S8" s="43">
        <v>341.92</v>
      </c>
      <c r="T8" s="43">
        <v>417.64</v>
      </c>
      <c r="U8" s="43">
        <v>2063.79</v>
      </c>
      <c r="V8" s="43">
        <v>608.88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51">
        <v>0</v>
      </c>
      <c r="AD8" s="59" t="s">
        <v>102</v>
      </c>
      <c r="AE8" s="55">
        <f>SUM(N2:AB13)</f>
        <v>1533458.28</v>
      </c>
      <c r="AF8" s="20"/>
      <c r="AG8" s="44"/>
      <c r="AH8" s="82"/>
      <c r="AI8" s="67" t="s">
        <v>25</v>
      </c>
      <c r="AJ8" s="43">
        <f t="shared" si="1"/>
        <v>2636383.6000000006</v>
      </c>
      <c r="AK8" s="43">
        <f>SUM($G7:G7)</f>
        <v>1618809.72</v>
      </c>
      <c r="AL8" s="43">
        <f>SUM($G7:H7)</f>
        <v>2364669.46</v>
      </c>
      <c r="AM8" s="43">
        <f>SUM($G7:I7)</f>
        <v>2493272.75</v>
      </c>
      <c r="AN8" s="43">
        <f>SUM($G7:J7)</f>
        <v>2609419.79</v>
      </c>
      <c r="AO8" s="43">
        <f>SUM($G7:K7)</f>
        <v>2616221.91</v>
      </c>
      <c r="AP8" s="43">
        <f>SUM($G7:L7)</f>
        <v>2621378.0500000003</v>
      </c>
      <c r="AQ8" s="43">
        <f>SUM($G7:M7)</f>
        <v>2624085.83</v>
      </c>
      <c r="AR8" s="43">
        <f>SUM($G7:N7)</f>
        <v>2626683.79</v>
      </c>
      <c r="AS8" s="43">
        <f>SUM($G7:O7)</f>
        <v>2629208.2000000002</v>
      </c>
      <c r="AT8" s="43">
        <f>SUM($G7:P7)</f>
        <v>2629438.8800000004</v>
      </c>
      <c r="AU8" s="43">
        <f>SUM($G7:Q7)</f>
        <v>2629887.9300000002</v>
      </c>
      <c r="AV8" s="43">
        <f>SUM($G7:R7)</f>
        <v>2631478.5500000003</v>
      </c>
      <c r="AW8" s="43">
        <f>SUM($G7:S7)</f>
        <v>2635968.2300000004</v>
      </c>
      <c r="AX8" s="43">
        <f>SUM($G7:T7)</f>
        <v>2635968.2300000004</v>
      </c>
      <c r="AY8" s="51">
        <f>SUM($G7:U7)</f>
        <v>2636383.6000000006</v>
      </c>
      <c r="BA8" s="67" t="s">
        <v>25</v>
      </c>
      <c r="BB8" s="43">
        <f t="shared" si="2"/>
        <v>2636383.6000000006</v>
      </c>
      <c r="BC8" s="70">
        <f t="shared" si="3"/>
        <v>0.61402662343977543</v>
      </c>
      <c r="BD8" s="70">
        <f t="shared" si="3"/>
        <v>0.89693679629929401</v>
      </c>
      <c r="BE8" s="70">
        <v>0.94571698519138092</v>
      </c>
      <c r="BF8" s="70">
        <v>0.98977242537846144</v>
      </c>
      <c r="BG8" s="70">
        <v>0.99235252032367349</v>
      </c>
      <c r="BH8" s="70">
        <v>0.99430828275521044</v>
      </c>
      <c r="BI8" s="70">
        <v>0.99533536394324384</v>
      </c>
      <c r="BJ8" s="70">
        <v>0.99632078958464143</v>
      </c>
      <c r="BK8" s="70">
        <v>0.99727831716143267</v>
      </c>
      <c r="BL8" s="70">
        <v>0.99736581580920158</v>
      </c>
      <c r="BM8" s="70">
        <v>0.99753614382975209</v>
      </c>
      <c r="BN8" s="70">
        <v>0.99813947788174673</v>
      </c>
      <c r="BO8" s="70">
        <v>0.99984244705512504</v>
      </c>
      <c r="BP8" s="70">
        <v>0.99984244705512504</v>
      </c>
      <c r="BQ8" s="71">
        <v>1</v>
      </c>
      <c r="BR8" s="83"/>
      <c r="BS8" s="67" t="s">
        <v>36</v>
      </c>
      <c r="BT8" s="43">
        <f t="shared" si="4"/>
        <v>2479960.0300000031</v>
      </c>
      <c r="BU8" s="73">
        <v>0.99698246466929641</v>
      </c>
      <c r="BV8" s="43">
        <f t="shared" si="5"/>
        <v>2487466.046679785</v>
      </c>
      <c r="BW8" s="56">
        <f t="shared" si="6"/>
        <v>7506.0166797819547</v>
      </c>
      <c r="BZ8" s="155" t="s">
        <v>103</v>
      </c>
      <c r="CA8" s="29"/>
      <c r="CB8" s="63">
        <f>CA6+CB6</f>
        <v>2388541.2799999909</v>
      </c>
      <c r="CC8" s="9"/>
    </row>
    <row r="9" spans="1:81" ht="16.5" thickTop="1" x14ac:dyDescent="0.25">
      <c r="A9" s="41" t="s">
        <v>27</v>
      </c>
      <c r="B9" s="43"/>
      <c r="C9" s="43"/>
      <c r="D9" s="43"/>
      <c r="E9" s="43"/>
      <c r="F9" s="43"/>
      <c r="G9" s="43"/>
      <c r="H9" s="43"/>
      <c r="I9" s="43">
        <v>1526182.22</v>
      </c>
      <c r="J9" s="43">
        <v>795485.08</v>
      </c>
      <c r="K9" s="43">
        <v>128414.09000000007</v>
      </c>
      <c r="L9" s="43">
        <v>37354.79</v>
      </c>
      <c r="M9" s="43">
        <v>23402.07</v>
      </c>
      <c r="N9" s="43">
        <v>3496.5099999999998</v>
      </c>
      <c r="O9" s="43">
        <v>5275.0699999999988</v>
      </c>
      <c r="P9" s="43">
        <v>1914.31</v>
      </c>
      <c r="Q9" s="43">
        <v>1102.32</v>
      </c>
      <c r="R9" s="43">
        <v>3012.77</v>
      </c>
      <c r="S9" s="43">
        <v>283.76</v>
      </c>
      <c r="T9" s="43">
        <v>315.11</v>
      </c>
      <c r="U9" s="43">
        <v>589.76</v>
      </c>
      <c r="V9" s="43">
        <v>851.2</v>
      </c>
      <c r="W9" s="43">
        <v>1255.73</v>
      </c>
      <c r="X9" s="43">
        <v>0</v>
      </c>
      <c r="Y9" s="43">
        <v>0</v>
      </c>
      <c r="Z9" s="43">
        <v>0</v>
      </c>
      <c r="AA9" s="43">
        <v>0</v>
      </c>
      <c r="AB9" s="51">
        <v>0</v>
      </c>
      <c r="AD9" s="19" t="s">
        <v>105</v>
      </c>
      <c r="AE9" s="60">
        <f>AE8/AE4</f>
        <v>3.9809404984423674E-2</v>
      </c>
      <c r="AF9" s="20"/>
      <c r="AG9" s="44"/>
      <c r="AH9" s="82"/>
      <c r="AI9" s="67" t="s">
        <v>26</v>
      </c>
      <c r="AJ9" s="43">
        <f t="shared" si="1"/>
        <v>2672215.0299999993</v>
      </c>
      <c r="AK9" s="43">
        <f>SUM($H8:H8)</f>
        <v>1708619.77</v>
      </c>
      <c r="AL9" s="43">
        <f>SUM($H8:I8)</f>
        <v>2406364.06</v>
      </c>
      <c r="AM9" s="43">
        <f>SUM($H8:J8)</f>
        <v>2588404.4299999997</v>
      </c>
      <c r="AN9" s="43">
        <f>SUM($H8:K8)</f>
        <v>2630547.3899999997</v>
      </c>
      <c r="AO9" s="43">
        <f>SUM($H8:L8)</f>
        <v>2643478.8099999996</v>
      </c>
      <c r="AP9" s="43">
        <f>SUM($H8:M8)</f>
        <v>2655077.6199999996</v>
      </c>
      <c r="AQ9" s="43">
        <f>SUM($H8:N8)</f>
        <v>2662268.7199999997</v>
      </c>
      <c r="AR9" s="43">
        <f>SUM($H8:O8)</f>
        <v>2663339.7299999995</v>
      </c>
      <c r="AS9" s="43">
        <f>SUM($H8:P8)</f>
        <v>2663603.8199999994</v>
      </c>
      <c r="AT9" s="43">
        <f>SUM($H8:Q8)</f>
        <v>2668473.3299999991</v>
      </c>
      <c r="AU9" s="43">
        <f>SUM($H8:R8)</f>
        <v>2668782.7999999993</v>
      </c>
      <c r="AV9" s="43">
        <f>SUM($H8:S8)</f>
        <v>2669124.7199999993</v>
      </c>
      <c r="AW9" s="43">
        <f>SUM($H8:T8)</f>
        <v>2669542.3599999994</v>
      </c>
      <c r="AX9" s="43">
        <f>SUM($H8:U8)</f>
        <v>2671606.1499999994</v>
      </c>
      <c r="AY9" s="51">
        <f>SUM($H8:V8)</f>
        <v>2672215.0299999993</v>
      </c>
      <c r="BA9" s="67" t="s">
        <v>26</v>
      </c>
      <c r="BB9" s="43">
        <f t="shared" si="2"/>
        <v>2672215.0299999993</v>
      </c>
      <c r="BC9" s="70">
        <f t="shared" si="3"/>
        <v>0.63940205066506206</v>
      </c>
      <c r="BD9" s="70">
        <f t="shared" si="3"/>
        <v>0.90051288275255326</v>
      </c>
      <c r="BE9" s="70">
        <v>0.96863628148966752</v>
      </c>
      <c r="BF9" s="70">
        <v>0.98440707819834405</v>
      </c>
      <c r="BG9" s="70">
        <v>0.98924629205457326</v>
      </c>
      <c r="BH9" s="70">
        <v>0.99358681475569732</v>
      </c>
      <c r="BI9" s="70">
        <v>0.99627787813168633</v>
      </c>
      <c r="BJ9" s="70">
        <v>0.99667867297340973</v>
      </c>
      <c r="BK9" s="70">
        <v>0.99677750109803098</v>
      </c>
      <c r="BL9" s="70">
        <v>0.99859977585710979</v>
      </c>
      <c r="BM9" s="70">
        <v>0.99871558614802047</v>
      </c>
      <c r="BN9" s="70">
        <v>0.99884353992275832</v>
      </c>
      <c r="BO9" s="70">
        <v>0.99899982974049817</v>
      </c>
      <c r="BP9" s="70">
        <v>0.99977214408527604</v>
      </c>
      <c r="BQ9" s="71">
        <v>1</v>
      </c>
      <c r="BR9" s="83"/>
      <c r="BS9" s="67" t="s">
        <v>37</v>
      </c>
      <c r="BT9" s="43">
        <f t="shared" si="4"/>
        <v>2791606.8800000041</v>
      </c>
      <c r="BU9" s="73">
        <v>0.99645111386911545</v>
      </c>
      <c r="BV9" s="43">
        <f t="shared" si="5"/>
        <v>2801549.259311364</v>
      </c>
      <c r="BW9" s="56">
        <f t="shared" si="6"/>
        <v>9942.3793113599531</v>
      </c>
      <c r="BZ9" s="113" t="s">
        <v>136</v>
      </c>
      <c r="CA9" s="16"/>
      <c r="CB9" s="16"/>
      <c r="CC9" s="11"/>
    </row>
    <row r="10" spans="1:81" ht="15.75" x14ac:dyDescent="0.25">
      <c r="A10" s="41" t="s">
        <v>28</v>
      </c>
      <c r="B10" s="43"/>
      <c r="C10" s="43"/>
      <c r="D10" s="43"/>
      <c r="E10" s="43"/>
      <c r="F10" s="43"/>
      <c r="G10" s="43"/>
      <c r="H10" s="43"/>
      <c r="I10" s="43"/>
      <c r="J10" s="43">
        <v>1494525.57</v>
      </c>
      <c r="K10" s="43">
        <v>741677.27</v>
      </c>
      <c r="L10" s="43">
        <v>127667.23000000007</v>
      </c>
      <c r="M10" s="43">
        <v>53859.65</v>
      </c>
      <c r="N10" s="43">
        <v>5728.1599999999989</v>
      </c>
      <c r="O10" s="43">
        <v>28247.739999999998</v>
      </c>
      <c r="P10" s="43">
        <v>2389.5700000000002</v>
      </c>
      <c r="Q10" s="43">
        <v>2051.4900000000002</v>
      </c>
      <c r="R10" s="43">
        <v>1260.7399999999998</v>
      </c>
      <c r="S10" s="43">
        <v>723.5999999999998</v>
      </c>
      <c r="T10" s="43">
        <v>481.58</v>
      </c>
      <c r="U10" s="43">
        <v>1108.05</v>
      </c>
      <c r="V10" s="43">
        <v>819.29</v>
      </c>
      <c r="W10" s="43">
        <v>253.73</v>
      </c>
      <c r="X10" s="43">
        <v>264.94</v>
      </c>
      <c r="Y10" s="43">
        <v>0</v>
      </c>
      <c r="Z10" s="43">
        <v>0</v>
      </c>
      <c r="AA10" s="43">
        <v>0</v>
      </c>
      <c r="AB10" s="51">
        <v>0</v>
      </c>
      <c r="AD10" s="41" t="s">
        <v>107</v>
      </c>
      <c r="AE10" s="29"/>
      <c r="AF10" s="61">
        <f>AF4*AE9</f>
        <v>1655695.446568972</v>
      </c>
      <c r="AG10" s="62"/>
      <c r="AH10" s="82"/>
      <c r="AI10" s="67" t="s">
        <v>27</v>
      </c>
      <c r="AJ10" s="43">
        <f t="shared" si="1"/>
        <v>2528934.7899999986</v>
      </c>
      <c r="AK10" s="43">
        <f>SUM($I9:I9)</f>
        <v>1526182.22</v>
      </c>
      <c r="AL10" s="43">
        <f>SUM($I9:J9)</f>
        <v>2321667.2999999998</v>
      </c>
      <c r="AM10" s="43">
        <f>SUM($I9:K9)</f>
        <v>2450081.3899999997</v>
      </c>
      <c r="AN10" s="43">
        <f>SUM($I9:L9)</f>
        <v>2487436.1799999997</v>
      </c>
      <c r="AO10" s="43">
        <f>SUM($I9:M9)</f>
        <v>2510838.2499999995</v>
      </c>
      <c r="AP10" s="43">
        <f>SUM($I9:N9)</f>
        <v>2514334.7599999993</v>
      </c>
      <c r="AQ10" s="43">
        <f>SUM($I9:O9)</f>
        <v>2519609.8299999991</v>
      </c>
      <c r="AR10" s="43">
        <f>SUM($I9:P9)</f>
        <v>2521524.1399999992</v>
      </c>
      <c r="AS10" s="43">
        <f>SUM($I9:Q9)</f>
        <v>2522626.459999999</v>
      </c>
      <c r="AT10" s="43">
        <f>SUM($I9:R9)</f>
        <v>2525639.2299999991</v>
      </c>
      <c r="AU10" s="43">
        <f>SUM($I9:S9)</f>
        <v>2525922.9899999988</v>
      </c>
      <c r="AV10" s="43">
        <f>SUM($I9:T9)</f>
        <v>2526238.0999999987</v>
      </c>
      <c r="AW10" s="43">
        <f>SUM($I9:U9)</f>
        <v>2526827.8599999985</v>
      </c>
      <c r="AX10" s="43">
        <f>SUM($I9:V9)</f>
        <v>2527679.0599999987</v>
      </c>
      <c r="AY10" s="51">
        <f>SUM($I9:W9)</f>
        <v>2528934.7899999986</v>
      </c>
      <c r="BA10" s="67" t="s">
        <v>27</v>
      </c>
      <c r="BB10" s="43">
        <f t="shared" si="2"/>
        <v>2528934.7899999986</v>
      </c>
      <c r="BC10" s="70">
        <f t="shared" si="3"/>
        <v>0.60348816665217409</v>
      </c>
      <c r="BD10" s="70">
        <f t="shared" si="3"/>
        <v>0.91804158382431089</v>
      </c>
      <c r="BE10" s="70">
        <v>0.96881952025342688</v>
      </c>
      <c r="BF10" s="70">
        <v>0.98359047842431757</v>
      </c>
      <c r="BG10" s="70">
        <v>0.99284420457516065</v>
      </c>
      <c r="BH10" s="70">
        <v>0.99422680645711736</v>
      </c>
      <c r="BI10" s="70">
        <v>0.99631269258627286</v>
      </c>
      <c r="BJ10" s="70">
        <v>0.99706965556039528</v>
      </c>
      <c r="BK10" s="70">
        <v>0.9975055386857169</v>
      </c>
      <c r="BL10" s="70">
        <v>0.99869685845082645</v>
      </c>
      <c r="BM10" s="70">
        <v>0.99880906379559131</v>
      </c>
      <c r="BN10" s="70">
        <v>0.99893366566403241</v>
      </c>
      <c r="BO10" s="70">
        <v>0.99916687057003939</v>
      </c>
      <c r="BP10" s="70">
        <v>0.99950345497046211</v>
      </c>
      <c r="BQ10" s="71">
        <v>1</v>
      </c>
      <c r="BR10" s="83"/>
      <c r="BS10" s="67" t="s">
        <v>38</v>
      </c>
      <c r="BT10" s="43">
        <f t="shared" si="4"/>
        <v>2567084.7000000011</v>
      </c>
      <c r="BU10" s="73">
        <v>0.99578636122161013</v>
      </c>
      <c r="BV10" s="43">
        <f t="shared" si="5"/>
        <v>2577947.2384525882</v>
      </c>
      <c r="BW10" s="56">
        <f t="shared" si="6"/>
        <v>10862.53845258709</v>
      </c>
      <c r="BZ10" s="156" t="s">
        <v>110</v>
      </c>
      <c r="CA10" s="20"/>
      <c r="CB10" s="20"/>
      <c r="CC10" s="3"/>
    </row>
    <row r="11" spans="1:81" ht="15.75" x14ac:dyDescent="0.25">
      <c r="A11" s="41" t="s">
        <v>29</v>
      </c>
      <c r="B11" s="43"/>
      <c r="C11" s="43"/>
      <c r="D11" s="43"/>
      <c r="E11" s="43"/>
      <c r="F11" s="43"/>
      <c r="G11" s="43"/>
      <c r="H11" s="43"/>
      <c r="I11" s="43"/>
      <c r="J11" s="43"/>
      <c r="K11" s="43">
        <v>1400638.01</v>
      </c>
      <c r="L11" s="43">
        <v>549885.93000000005</v>
      </c>
      <c r="M11" s="43">
        <v>79158.369999999981</v>
      </c>
      <c r="N11" s="43">
        <v>52761.080000000009</v>
      </c>
      <c r="O11" s="43">
        <v>35442.999999999985</v>
      </c>
      <c r="P11" s="43">
        <v>2944.4599999999996</v>
      </c>
      <c r="Q11" s="43">
        <v>1850.49</v>
      </c>
      <c r="R11" s="43">
        <v>2043.02</v>
      </c>
      <c r="S11" s="43">
        <v>3230.68</v>
      </c>
      <c r="T11" s="43">
        <v>2636.7400000000002</v>
      </c>
      <c r="U11" s="43">
        <v>2113.2800000000002</v>
      </c>
      <c r="V11" s="43">
        <v>8223.5</v>
      </c>
      <c r="W11" s="43">
        <v>130</v>
      </c>
      <c r="X11" s="43">
        <v>193</v>
      </c>
      <c r="Y11" s="43">
        <v>2011.2399999999998</v>
      </c>
      <c r="Z11" s="43">
        <v>0</v>
      </c>
      <c r="AA11" s="43">
        <v>0</v>
      </c>
      <c r="AB11" s="51">
        <v>0</v>
      </c>
      <c r="AD11" s="19"/>
      <c r="AE11" s="20"/>
      <c r="AF11" s="20"/>
      <c r="AG11" s="44"/>
      <c r="AH11" s="82"/>
      <c r="AI11" s="67" t="s">
        <v>28</v>
      </c>
      <c r="AJ11" s="43">
        <f t="shared" si="1"/>
        <v>2461058.6100000003</v>
      </c>
      <c r="AK11" s="43">
        <f>SUM($J10:J10)</f>
        <v>1494525.57</v>
      </c>
      <c r="AL11" s="43">
        <f>SUM($J10:K10)</f>
        <v>2236202.84</v>
      </c>
      <c r="AM11" s="43">
        <f>SUM($J10:L10)</f>
        <v>2363870.0699999998</v>
      </c>
      <c r="AN11" s="43">
        <f>SUM($J10:M10)</f>
        <v>2417729.7199999997</v>
      </c>
      <c r="AO11" s="43">
        <f>SUM($J10:N10)</f>
        <v>2423457.88</v>
      </c>
      <c r="AP11" s="43">
        <f>SUM($J10:O10)</f>
        <v>2451705.62</v>
      </c>
      <c r="AQ11" s="43">
        <f>SUM($J10:P10)</f>
        <v>2454095.19</v>
      </c>
      <c r="AR11" s="43">
        <f>SUM($J10:Q10)</f>
        <v>2456146.6800000002</v>
      </c>
      <c r="AS11" s="43">
        <f>SUM($J10:R10)</f>
        <v>2457407.4200000004</v>
      </c>
      <c r="AT11" s="43">
        <f>SUM($J10:S10)</f>
        <v>2458131.0200000005</v>
      </c>
      <c r="AU11" s="43">
        <f>SUM($J10:T10)</f>
        <v>2458612.6000000006</v>
      </c>
      <c r="AV11" s="43">
        <f>SUM($J10:U10)</f>
        <v>2459720.6500000004</v>
      </c>
      <c r="AW11" s="43">
        <f>SUM($J10:V10)</f>
        <v>2460539.9400000004</v>
      </c>
      <c r="AX11" s="43">
        <f>SUM($J10:W10)</f>
        <v>2460793.6700000004</v>
      </c>
      <c r="AY11" s="51">
        <f>SUM($J10:X10)</f>
        <v>2461058.6100000003</v>
      </c>
      <c r="BA11" s="67" t="s">
        <v>28</v>
      </c>
      <c r="BB11" s="43">
        <f t="shared" si="2"/>
        <v>2461058.6100000003</v>
      </c>
      <c r="BC11" s="70">
        <f t="shared" si="3"/>
        <v>0.60726939371833966</v>
      </c>
      <c r="BD11" s="70">
        <f t="shared" si="3"/>
        <v>0.90863453268185257</v>
      </c>
      <c r="BE11" s="70">
        <v>0.96050945735095661</v>
      </c>
      <c r="BF11" s="70">
        <v>0.98239420636959129</v>
      </c>
      <c r="BG11" s="70">
        <v>0.98472172509536438</v>
      </c>
      <c r="BH11" s="70">
        <v>0.99619960696506926</v>
      </c>
      <c r="BI11" s="70">
        <v>0.99717055905466612</v>
      </c>
      <c r="BJ11" s="70">
        <v>0.9980041393650515</v>
      </c>
      <c r="BK11" s="70">
        <v>0.99851641485287501</v>
      </c>
      <c r="BL11" s="70">
        <v>0.99881043466900621</v>
      </c>
      <c r="BM11" s="70">
        <v>0.99900611468980827</v>
      </c>
      <c r="BN11" s="70">
        <v>0.99945634777060433</v>
      </c>
      <c r="BO11" s="70">
        <v>0.99978924922881052</v>
      </c>
      <c r="BP11" s="70">
        <v>0.99989234713918496</v>
      </c>
      <c r="BQ11" s="71">
        <v>1</v>
      </c>
      <c r="BR11" s="83"/>
      <c r="BS11" s="67" t="s">
        <v>39</v>
      </c>
      <c r="BT11" s="43">
        <f t="shared" si="4"/>
        <v>3241420.44</v>
      </c>
      <c r="BU11" s="73">
        <v>0.99493612745568472</v>
      </c>
      <c r="BV11" s="43">
        <f t="shared" si="5"/>
        <v>3257918.1221302827</v>
      </c>
      <c r="BW11" s="56">
        <f t="shared" si="6"/>
        <v>16497.682130282745</v>
      </c>
      <c r="BZ11" s="156" t="s">
        <v>159</v>
      </c>
      <c r="CA11" s="20"/>
      <c r="CB11" s="20"/>
    </row>
    <row r="12" spans="1:81" x14ac:dyDescent="0.25">
      <c r="A12" s="41" t="s">
        <v>30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>
        <v>1450118.79</v>
      </c>
      <c r="M12" s="43">
        <v>904993.8</v>
      </c>
      <c r="N12" s="43">
        <v>110004.08000000002</v>
      </c>
      <c r="O12" s="43">
        <v>45281.669999999962</v>
      </c>
      <c r="P12" s="43">
        <v>12809.66</v>
      </c>
      <c r="Q12" s="43">
        <v>6493.77</v>
      </c>
      <c r="R12" s="43">
        <v>859.37</v>
      </c>
      <c r="S12" s="43">
        <v>3638.1899999999996</v>
      </c>
      <c r="T12" s="43">
        <v>1815.26</v>
      </c>
      <c r="U12" s="43">
        <v>1742.97</v>
      </c>
      <c r="V12" s="43">
        <v>234.96</v>
      </c>
      <c r="W12" s="43">
        <v>1458.27</v>
      </c>
      <c r="X12" s="43">
        <v>3847.3</v>
      </c>
      <c r="Y12" s="43">
        <v>14.43</v>
      </c>
      <c r="Z12" s="43">
        <v>0</v>
      </c>
      <c r="AA12" s="43">
        <v>0</v>
      </c>
      <c r="AB12" s="51">
        <v>0</v>
      </c>
      <c r="AD12" s="19" t="s">
        <v>112</v>
      </c>
      <c r="AE12" s="20"/>
      <c r="AF12" s="20"/>
      <c r="AG12" s="44"/>
      <c r="AH12" s="82"/>
      <c r="AI12" s="67" t="s">
        <v>29</v>
      </c>
      <c r="AJ12" s="43">
        <f t="shared" si="1"/>
        <v>2143262.8000000003</v>
      </c>
      <c r="AK12" s="43">
        <f>SUM($K11:K11)</f>
        <v>1400638.01</v>
      </c>
      <c r="AL12" s="43">
        <f>SUM($K11:L11)</f>
        <v>1950523.94</v>
      </c>
      <c r="AM12" s="43">
        <f>SUM($K11:M11)</f>
        <v>2029682.3099999998</v>
      </c>
      <c r="AN12" s="43">
        <f>SUM($K11:N11)</f>
        <v>2082443.39</v>
      </c>
      <c r="AO12" s="43">
        <f>SUM($K11:O11)</f>
        <v>2117886.3899999997</v>
      </c>
      <c r="AP12" s="43">
        <f>SUM($K11:P11)</f>
        <v>2120830.8499999996</v>
      </c>
      <c r="AQ12" s="43">
        <f>SUM($K11:Q11)</f>
        <v>2122681.34</v>
      </c>
      <c r="AR12" s="43">
        <f>SUM($K11:R11)</f>
        <v>2124724.36</v>
      </c>
      <c r="AS12" s="43">
        <f>SUM($K11:S11)</f>
        <v>2127955.04</v>
      </c>
      <c r="AT12" s="43">
        <f>SUM($K11:T11)</f>
        <v>2130591.7800000003</v>
      </c>
      <c r="AU12" s="43">
        <f>SUM($K11:U11)</f>
        <v>2132705.06</v>
      </c>
      <c r="AV12" s="43">
        <f>SUM($K11:V11)</f>
        <v>2140928.56</v>
      </c>
      <c r="AW12" s="43">
        <f>SUM($K11:W11)</f>
        <v>2141058.56</v>
      </c>
      <c r="AX12" s="43">
        <f>SUM($K11:X11)</f>
        <v>2141251.56</v>
      </c>
      <c r="AY12" s="51">
        <f>SUM($K11:Y11)</f>
        <v>2143262.8000000003</v>
      </c>
      <c r="BA12" s="67" t="s">
        <v>29</v>
      </c>
      <c r="BB12" s="43">
        <f t="shared" si="2"/>
        <v>2143262.8000000003</v>
      </c>
      <c r="BC12" s="70">
        <f t="shared" si="3"/>
        <v>0.65350735803374171</v>
      </c>
      <c r="BD12" s="70">
        <f t="shared" si="3"/>
        <v>0.91007222259444787</v>
      </c>
      <c r="BE12" s="70">
        <v>0.94700580348802754</v>
      </c>
      <c r="BF12" s="70">
        <v>0.97162298062561414</v>
      </c>
      <c r="BG12" s="70">
        <v>0.98815991674002801</v>
      </c>
      <c r="BH12" s="70">
        <v>0.98953373799983813</v>
      </c>
      <c r="BI12" s="70">
        <v>0.99039713655273609</v>
      </c>
      <c r="BJ12" s="70">
        <v>0.99135036543348753</v>
      </c>
      <c r="BK12" s="70">
        <v>0.99285773074585149</v>
      </c>
      <c r="BL12" s="70">
        <v>0.99408797651879177</v>
      </c>
      <c r="BM12" s="70">
        <v>0.99507398719373086</v>
      </c>
      <c r="BN12" s="70">
        <v>0.99891089417499324</v>
      </c>
      <c r="BO12" s="70">
        <v>0.99897154935922916</v>
      </c>
      <c r="BP12" s="70">
        <v>0.99906159897890257</v>
      </c>
      <c r="BQ12" s="71">
        <v>1</v>
      </c>
      <c r="BR12" s="83"/>
      <c r="BS12" s="67" t="s">
        <v>40</v>
      </c>
      <c r="BT12" s="43">
        <f t="shared" si="4"/>
        <v>2481387.3700000006</v>
      </c>
      <c r="BU12" s="73">
        <v>0.99383207867575774</v>
      </c>
      <c r="BV12" s="43">
        <f t="shared" si="5"/>
        <v>2496787.3579874299</v>
      </c>
      <c r="BW12" s="56">
        <f t="shared" si="6"/>
        <v>15399.987987429369</v>
      </c>
    </row>
    <row r="13" spans="1:81" x14ac:dyDescent="0.25">
      <c r="A13" s="41" t="s">
        <v>31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2017872.75</v>
      </c>
      <c r="N13" s="43">
        <v>739571.13</v>
      </c>
      <c r="O13" s="43">
        <v>220208.89999999994</v>
      </c>
      <c r="P13" s="43">
        <v>41358.769999999997</v>
      </c>
      <c r="Q13" s="43">
        <v>54150.760000000009</v>
      </c>
      <c r="R13" s="43">
        <v>4918.1899999999996</v>
      </c>
      <c r="S13" s="43">
        <v>4836.33</v>
      </c>
      <c r="T13" s="43">
        <v>2566.1799999999998</v>
      </c>
      <c r="U13" s="43">
        <v>909.58999999999992</v>
      </c>
      <c r="V13" s="43">
        <v>377.52</v>
      </c>
      <c r="W13" s="43">
        <v>1282.8700000000003</v>
      </c>
      <c r="X13" s="43">
        <v>626.85</v>
      </c>
      <c r="Y13" s="43">
        <v>14964.97</v>
      </c>
      <c r="Z13" s="43">
        <v>0</v>
      </c>
      <c r="AA13" s="43">
        <v>3360.49</v>
      </c>
      <c r="AB13" s="51">
        <v>0</v>
      </c>
      <c r="AD13" s="59" t="s">
        <v>113</v>
      </c>
      <c r="AE13" s="20"/>
      <c r="AF13" s="55">
        <f>SUM(N14:P16)</f>
        <v>6424797.3000000007</v>
      </c>
      <c r="AG13" s="44"/>
      <c r="AH13" s="82"/>
      <c r="AI13" s="67" t="s">
        <v>30</v>
      </c>
      <c r="AJ13" s="43">
        <f t="shared" si="1"/>
        <v>2543312.52</v>
      </c>
      <c r="AK13" s="43">
        <f>SUM($L12:L12)</f>
        <v>1450118.79</v>
      </c>
      <c r="AL13" s="43">
        <f>SUM($L12:M12)</f>
        <v>2355112.59</v>
      </c>
      <c r="AM13" s="43">
        <f>SUM($L12:N12)</f>
        <v>2465116.67</v>
      </c>
      <c r="AN13" s="43">
        <f>SUM($L12:O12)</f>
        <v>2510398.34</v>
      </c>
      <c r="AO13" s="43">
        <f>SUM($L12:P12)</f>
        <v>2523208</v>
      </c>
      <c r="AP13" s="43">
        <f>SUM($L12:Q12)</f>
        <v>2529701.77</v>
      </c>
      <c r="AQ13" s="43">
        <f>SUM($L12:R12)</f>
        <v>2530561.14</v>
      </c>
      <c r="AR13" s="43">
        <f>SUM($L12:S12)</f>
        <v>2534199.33</v>
      </c>
      <c r="AS13" s="43">
        <f>SUM($L12:T12)</f>
        <v>2536014.59</v>
      </c>
      <c r="AT13" s="43">
        <f>SUM($L12:U12)</f>
        <v>2537757.56</v>
      </c>
      <c r="AU13" s="43">
        <f>SUM($L12:V12)</f>
        <v>2537992.52</v>
      </c>
      <c r="AV13" s="43">
        <f>SUM($L12:W12)</f>
        <v>2539450.79</v>
      </c>
      <c r="AW13" s="43">
        <f>SUM($L12:X12)</f>
        <v>2543298.09</v>
      </c>
      <c r="AX13" s="43">
        <f>SUM($L12:Y12)</f>
        <v>2543312.52</v>
      </c>
      <c r="AY13" s="51">
        <f>SUM($L12:Z12)</f>
        <v>2543312.52</v>
      </c>
      <c r="BA13" s="67" t="s">
        <v>30</v>
      </c>
      <c r="BB13" s="43">
        <f t="shared" si="2"/>
        <v>2543312.52</v>
      </c>
      <c r="BC13" s="70">
        <f t="shared" si="3"/>
        <v>0.57016932783392271</v>
      </c>
      <c r="BD13" s="70">
        <f t="shared" si="3"/>
        <v>0.92600204319365353</v>
      </c>
      <c r="BE13" s="70">
        <v>0.96925432899610775</v>
      </c>
      <c r="BF13" s="70">
        <v>0.98705853891679807</v>
      </c>
      <c r="BG13" s="70">
        <v>0.99209514369865959</v>
      </c>
      <c r="BH13" s="70">
        <v>0.99464841623160016</v>
      </c>
      <c r="BI13" s="70">
        <v>0.99498631021562389</v>
      </c>
      <c r="BJ13" s="70">
        <v>0.9964168029181093</v>
      </c>
      <c r="BK13" s="70">
        <v>0.99713054139331636</v>
      </c>
      <c r="BL13" s="70">
        <v>0.99781585630695513</v>
      </c>
      <c r="BM13" s="70">
        <v>0.99790823976284282</v>
      </c>
      <c r="BN13" s="70">
        <v>0.99848161404875246</v>
      </c>
      <c r="BO13" s="70">
        <v>0.99999432629695062</v>
      </c>
      <c r="BP13" s="70">
        <v>1</v>
      </c>
      <c r="BQ13" s="71">
        <v>1</v>
      </c>
      <c r="BR13" s="83"/>
      <c r="BS13" s="67" t="s">
        <v>41</v>
      </c>
      <c r="BT13" s="43">
        <f t="shared" si="4"/>
        <v>2421387.1799999997</v>
      </c>
      <c r="BU13" s="73">
        <v>0.99161392992271991</v>
      </c>
      <c r="BV13" s="43">
        <f t="shared" si="5"/>
        <v>2441864.829580104</v>
      </c>
      <c r="BW13" s="56">
        <f t="shared" si="6"/>
        <v>20477.649580104277</v>
      </c>
    </row>
    <row r="14" spans="1:81" x14ac:dyDescent="0.25">
      <c r="A14" s="41" t="s">
        <v>32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>
        <v>1393552.02</v>
      </c>
      <c r="O14" s="43">
        <v>760751.97</v>
      </c>
      <c r="P14" s="43">
        <v>455889.99000000011</v>
      </c>
      <c r="Q14" s="43">
        <v>39617.469999999987</v>
      </c>
      <c r="R14" s="43">
        <v>50525.759999999995</v>
      </c>
      <c r="S14" s="43">
        <v>11048.56</v>
      </c>
      <c r="T14" s="43">
        <v>16020.300000000003</v>
      </c>
      <c r="U14" s="43">
        <v>4295.76</v>
      </c>
      <c r="V14" s="43">
        <v>1709.44</v>
      </c>
      <c r="W14" s="43">
        <v>4471.55</v>
      </c>
      <c r="X14" s="43">
        <v>5714.670000000001</v>
      </c>
      <c r="Y14" s="43">
        <v>5755.3</v>
      </c>
      <c r="Z14" s="43">
        <v>660.63</v>
      </c>
      <c r="AA14" s="43">
        <v>0</v>
      </c>
      <c r="AB14" s="51">
        <v>1919.15</v>
      </c>
      <c r="AD14" s="59" t="s">
        <v>114</v>
      </c>
      <c r="AE14" s="20"/>
      <c r="AF14" s="55">
        <f>SUM(Q14:AB16)</f>
        <v>1473434.5199999998</v>
      </c>
      <c r="AG14" s="44"/>
      <c r="AH14" s="82"/>
      <c r="AI14" s="67" t="s">
        <v>31</v>
      </c>
      <c r="AJ14" s="43">
        <f t="shared" si="1"/>
        <v>3107005.3000000003</v>
      </c>
      <c r="AK14" s="43">
        <f>SUM($M13:M13)</f>
        <v>2017872.75</v>
      </c>
      <c r="AL14" s="43">
        <f>SUM($M13:N13)</f>
        <v>2757443.88</v>
      </c>
      <c r="AM14" s="43">
        <f>SUM($M13:O13)</f>
        <v>2977652.78</v>
      </c>
      <c r="AN14" s="43">
        <f>SUM($M13:P13)</f>
        <v>3019011.55</v>
      </c>
      <c r="AO14" s="43">
        <f>SUM($M13:Q13)</f>
        <v>3073162.3099999996</v>
      </c>
      <c r="AP14" s="43">
        <f>SUM($M13:R13)</f>
        <v>3078080.4999999995</v>
      </c>
      <c r="AQ14" s="43">
        <f>SUM($M13:S13)</f>
        <v>3082916.8299999996</v>
      </c>
      <c r="AR14" s="43">
        <f>SUM($M13:T13)</f>
        <v>3085483.01</v>
      </c>
      <c r="AS14" s="43">
        <f>SUM($M13:U13)</f>
        <v>3086392.5999999996</v>
      </c>
      <c r="AT14" s="43">
        <f>SUM($M13:V13)</f>
        <v>3086770.1199999996</v>
      </c>
      <c r="AU14" s="43">
        <f>SUM($M13:W13)</f>
        <v>3088052.9899999998</v>
      </c>
      <c r="AV14" s="43">
        <f>SUM($M13:X13)</f>
        <v>3088679.84</v>
      </c>
      <c r="AW14" s="43">
        <f>SUM($M13:Y13)</f>
        <v>3103644.81</v>
      </c>
      <c r="AX14" s="43">
        <f>SUM($M13:Z13)</f>
        <v>3103644.81</v>
      </c>
      <c r="AY14" s="51">
        <f>SUM($M13:AA13)</f>
        <v>3107005.3000000003</v>
      </c>
      <c r="BA14" s="67" t="s">
        <v>31</v>
      </c>
      <c r="BB14" s="43">
        <f t="shared" si="2"/>
        <v>3107005.3000000003</v>
      </c>
      <c r="BC14" s="70">
        <f t="shared" si="3"/>
        <v>0.64945906271868925</v>
      </c>
      <c r="BD14" s="70">
        <f t="shared" si="3"/>
        <v>0.88749249317341028</v>
      </c>
      <c r="BE14" s="70">
        <v>0.95836746078289581</v>
      </c>
      <c r="BF14" s="70">
        <v>0.97167891860371125</v>
      </c>
      <c r="BG14" s="70">
        <v>0.98910752099457289</v>
      </c>
      <c r="BH14" s="70">
        <v>0.99069045682026979</v>
      </c>
      <c r="BI14" s="70">
        <v>0.99224704573242906</v>
      </c>
      <c r="BJ14" s="70">
        <v>0.99307297930904703</v>
      </c>
      <c r="BK14" s="70">
        <v>0.9933657338788574</v>
      </c>
      <c r="BL14" s="70">
        <v>0.9934872399477398</v>
      </c>
      <c r="BM14" s="70">
        <v>0.99390013592831639</v>
      </c>
      <c r="BN14" s="70">
        <v>0.99410188968779667</v>
      </c>
      <c r="BO14" s="70">
        <v>0.99891841510537482</v>
      </c>
      <c r="BP14" s="70">
        <v>0.99891841510537482</v>
      </c>
      <c r="BQ14" s="71">
        <v>1</v>
      </c>
      <c r="BR14" s="83"/>
      <c r="BS14" s="67" t="s">
        <v>42</v>
      </c>
      <c r="BT14" s="43">
        <f t="shared" si="4"/>
        <v>2389325.44</v>
      </c>
      <c r="BU14" s="73">
        <v>0.98824326404418228</v>
      </c>
      <c r="BV14" s="43">
        <f t="shared" si="5"/>
        <v>2417750.2917876486</v>
      </c>
      <c r="BW14" s="56">
        <f t="shared" si="6"/>
        <v>28424.851787648629</v>
      </c>
      <c r="BZ14" s="3"/>
    </row>
    <row r="15" spans="1:81" ht="16.5" thickBot="1" x14ac:dyDescent="0.3">
      <c r="A15" s="41" t="s">
        <v>33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>
        <v>1322516.3500000001</v>
      </c>
      <c r="P15" s="43">
        <v>756080.97</v>
      </c>
      <c r="Q15" s="43">
        <v>95516.679999999964</v>
      </c>
      <c r="R15" s="43">
        <v>33982.350000000006</v>
      </c>
      <c r="S15" s="43">
        <v>20124.010000000006</v>
      </c>
      <c r="T15" s="43">
        <v>5919.32</v>
      </c>
      <c r="U15" s="43">
        <v>5788.5</v>
      </c>
      <c r="V15" s="43">
        <v>5473.39</v>
      </c>
      <c r="W15" s="43">
        <v>10633.510000000002</v>
      </c>
      <c r="X15" s="43">
        <v>2417.79</v>
      </c>
      <c r="Y15" s="43">
        <v>15429.459999999997</v>
      </c>
      <c r="Z15" s="43">
        <v>553.20000000000005</v>
      </c>
      <c r="AA15" s="43">
        <v>1762.3799999999999</v>
      </c>
      <c r="AB15" s="51">
        <v>1220.25</v>
      </c>
      <c r="AD15" s="19" t="s">
        <v>105</v>
      </c>
      <c r="AE15" s="20"/>
      <c r="AF15" s="60">
        <f>AF14/AF4</f>
        <v>3.5427138273685176E-2</v>
      </c>
      <c r="AG15" s="44"/>
      <c r="AH15" s="82"/>
      <c r="AI15" s="31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9"/>
      <c r="BA15" s="72" t="s">
        <v>1</v>
      </c>
      <c r="BB15" s="20"/>
      <c r="BC15" s="73">
        <f>AVERAGE(BC3:BC14)</f>
        <v>0.58360517562119307</v>
      </c>
      <c r="BD15" s="73">
        <f t="shared" ref="BD15:BQ15" si="7">AVERAGE(BD3:BD14)</f>
        <v>0.87288453081385375</v>
      </c>
      <c r="BE15" s="73">
        <f t="shared" si="7"/>
        <v>0.94348721190626927</v>
      </c>
      <c r="BF15" s="73">
        <f t="shared" si="7"/>
        <v>0.98056302734459289</v>
      </c>
      <c r="BG15" s="73">
        <f t="shared" si="7"/>
        <v>0.98824326404418228</v>
      </c>
      <c r="BH15" s="73">
        <f t="shared" si="7"/>
        <v>0.99161392992271991</v>
      </c>
      <c r="BI15" s="73">
        <f t="shared" si="7"/>
        <v>0.99383207867575774</v>
      </c>
      <c r="BJ15" s="73">
        <f t="shared" si="7"/>
        <v>0.99493612745568472</v>
      </c>
      <c r="BK15" s="73">
        <f t="shared" si="7"/>
        <v>0.99578636122161013</v>
      </c>
      <c r="BL15" s="73">
        <f t="shared" si="7"/>
        <v>0.99645111386911545</v>
      </c>
      <c r="BM15" s="73">
        <f t="shared" si="7"/>
        <v>0.99698246466929641</v>
      </c>
      <c r="BN15" s="73">
        <f t="shared" si="7"/>
        <v>0.997936314815556</v>
      </c>
      <c r="BO15" s="73">
        <f t="shared" si="7"/>
        <v>0.99877086248213365</v>
      </c>
      <c r="BP15" s="73">
        <f t="shared" si="7"/>
        <v>0.99911025594210179</v>
      </c>
      <c r="BQ15" s="74">
        <f t="shared" si="7"/>
        <v>1</v>
      </c>
      <c r="BR15" s="83"/>
      <c r="BS15" s="67" t="s">
        <v>43</v>
      </c>
      <c r="BT15" s="43">
        <f t="shared" si="4"/>
        <v>2885881.9299999997</v>
      </c>
      <c r="BU15" s="73">
        <v>0.98056302734459289</v>
      </c>
      <c r="BV15" s="43">
        <f t="shared" si="5"/>
        <v>2943086.6242378042</v>
      </c>
      <c r="BW15" s="56">
        <f t="shared" si="6"/>
        <v>57204.694237804506</v>
      </c>
    </row>
    <row r="16" spans="1:81" ht="16.5" thickTop="1" x14ac:dyDescent="0.25">
      <c r="A16" s="41" t="s">
        <v>34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1736006</v>
      </c>
      <c r="Q16" s="43">
        <v>652312.78</v>
      </c>
      <c r="R16" s="43">
        <v>372920.05</v>
      </c>
      <c r="S16" s="43">
        <v>46422.680000000022</v>
      </c>
      <c r="T16" s="43">
        <v>15370.94</v>
      </c>
      <c r="U16" s="43">
        <v>2795.2200000000003</v>
      </c>
      <c r="V16" s="43">
        <v>6287.0500000000011</v>
      </c>
      <c r="W16" s="43">
        <v>8080.64</v>
      </c>
      <c r="X16" s="43">
        <v>3738.8500000000004</v>
      </c>
      <c r="Y16" s="43">
        <v>16498.899999999998</v>
      </c>
      <c r="Z16" s="43">
        <v>566.49</v>
      </c>
      <c r="AA16" s="43">
        <v>1268.8499999999999</v>
      </c>
      <c r="AB16" s="51">
        <v>6612.64</v>
      </c>
      <c r="AD16" s="41" t="s">
        <v>130</v>
      </c>
      <c r="AE16" s="20"/>
      <c r="AF16" s="20"/>
      <c r="AG16" s="62">
        <f>AG4*4*AF15</f>
        <v>1701847.7347228636</v>
      </c>
      <c r="AI16" s="117" t="s">
        <v>145</v>
      </c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BA16" s="117" t="s">
        <v>146</v>
      </c>
      <c r="BB16" s="16"/>
      <c r="BC16" s="157"/>
      <c r="BD16" s="157"/>
      <c r="BE16" s="157"/>
      <c r="BF16" s="157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83"/>
      <c r="BS16" s="67" t="s">
        <v>44</v>
      </c>
      <c r="BT16" s="43">
        <f t="shared" si="4"/>
        <v>2778713.2199999997</v>
      </c>
      <c r="BU16" s="73">
        <v>0.94348721190626927</v>
      </c>
      <c r="BV16" s="43">
        <f t="shared" si="5"/>
        <v>2945151.9691355932</v>
      </c>
      <c r="BW16" s="56">
        <f t="shared" si="6"/>
        <v>166438.74913559342</v>
      </c>
    </row>
    <row r="17" spans="1:81" x14ac:dyDescent="0.25">
      <c r="A17" s="41" t="s">
        <v>35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1406235.26</v>
      </c>
      <c r="R17" s="43">
        <v>777985.05999999994</v>
      </c>
      <c r="S17" s="43">
        <v>143399.14999999994</v>
      </c>
      <c r="T17" s="43">
        <v>30549.590000000007</v>
      </c>
      <c r="U17" s="43">
        <v>10671.789999999999</v>
      </c>
      <c r="V17" s="43">
        <v>68568.849999999991</v>
      </c>
      <c r="W17" s="43">
        <v>11579.019999999997</v>
      </c>
      <c r="X17" s="43">
        <v>3251.21</v>
      </c>
      <c r="Y17" s="43">
        <v>1768.52</v>
      </c>
      <c r="Z17" s="43">
        <v>819.92000000000019</v>
      </c>
      <c r="AA17" s="43">
        <v>958.36000000000013</v>
      </c>
      <c r="AB17" s="51">
        <v>731.47</v>
      </c>
      <c r="AD17" s="19"/>
      <c r="AE17" s="20"/>
      <c r="AF17" s="20"/>
      <c r="AG17" s="44"/>
      <c r="BR17" s="83"/>
      <c r="BS17" s="67" t="s">
        <v>45</v>
      </c>
      <c r="BT17" s="43">
        <f t="shared" si="4"/>
        <v>2197648.81</v>
      </c>
      <c r="BU17" s="73">
        <v>0.87288453081385375</v>
      </c>
      <c r="BV17" s="43">
        <f t="shared" si="5"/>
        <v>2517685.5957694338</v>
      </c>
      <c r="BW17" s="56">
        <f t="shared" si="6"/>
        <v>320036.78576943371</v>
      </c>
    </row>
    <row r="18" spans="1:81" ht="15.75" thickBot="1" x14ac:dyDescent="0.3">
      <c r="A18" s="41" t="s">
        <v>36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1315488.5300000026</v>
      </c>
      <c r="S18" s="43">
        <v>933538.88</v>
      </c>
      <c r="T18" s="43">
        <v>108693.60000000011</v>
      </c>
      <c r="U18" s="43">
        <v>71508.710000000006</v>
      </c>
      <c r="V18" s="43">
        <v>9012.1600000000017</v>
      </c>
      <c r="W18" s="43">
        <v>10210.470000000003</v>
      </c>
      <c r="X18" s="43">
        <v>9070.5999999999985</v>
      </c>
      <c r="Y18" s="43">
        <v>18692.98</v>
      </c>
      <c r="Z18" s="43">
        <v>432.95000000000005</v>
      </c>
      <c r="AA18" s="43">
        <v>1502.3399999999997</v>
      </c>
      <c r="AB18" s="51">
        <v>1808.8100000000002</v>
      </c>
      <c r="AD18" s="155" t="s">
        <v>131</v>
      </c>
      <c r="AE18" s="32"/>
      <c r="AF18" s="32"/>
      <c r="AG18" s="158">
        <f>AF10+AG16</f>
        <v>3357543.1812918354</v>
      </c>
      <c r="BR18" s="83"/>
      <c r="BS18" s="67" t="s">
        <v>46</v>
      </c>
      <c r="BT18" s="43">
        <f t="shared" si="4"/>
        <v>1822806.3</v>
      </c>
      <c r="BU18" s="73">
        <v>0.58360517562119307</v>
      </c>
      <c r="BV18" s="43">
        <f t="shared" si="5"/>
        <v>3123355.2684994498</v>
      </c>
      <c r="BW18" s="56">
        <f t="shared" si="6"/>
        <v>1300548.9684994498</v>
      </c>
      <c r="CC18" s="3"/>
    </row>
    <row r="19" spans="1:81" ht="17.25" thickTop="1" thickBot="1" x14ac:dyDescent="0.3">
      <c r="A19" s="41" t="s">
        <v>37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>
        <v>1675061.8800000041</v>
      </c>
      <c r="T19" s="43">
        <v>852248.9300000004</v>
      </c>
      <c r="U19" s="43">
        <v>152512.59999999998</v>
      </c>
      <c r="V19" s="43">
        <v>23390.520000000015</v>
      </c>
      <c r="W19" s="43">
        <v>29242.160000000007</v>
      </c>
      <c r="X19" s="43">
        <v>17824.259999999998</v>
      </c>
      <c r="Y19" s="43">
        <v>25533.78</v>
      </c>
      <c r="Z19" s="43">
        <v>2953.6099999999997</v>
      </c>
      <c r="AA19" s="43">
        <v>963.08</v>
      </c>
      <c r="AB19" s="51">
        <v>11876.060000000001</v>
      </c>
      <c r="AD19" s="117" t="s">
        <v>134</v>
      </c>
      <c r="AE19" s="16"/>
      <c r="AF19" s="16"/>
      <c r="AG19" s="16"/>
      <c r="BS19" s="75" t="s">
        <v>92</v>
      </c>
      <c r="BT19" s="38">
        <f>SUM(BT4:BT18)</f>
        <v>38411972.320000015</v>
      </c>
      <c r="BU19" s="29"/>
      <c r="BV19" s="38">
        <f>SUM(BV4:BV18)</f>
        <v>40375951.299979545</v>
      </c>
      <c r="BW19" s="63">
        <f>SUM(BW4:BW18)</f>
        <v>1963978.9799795419</v>
      </c>
    </row>
    <row r="20" spans="1:81" ht="16.5" thickTop="1" x14ac:dyDescent="0.25">
      <c r="A20" s="41" t="s">
        <v>38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>
        <v>1546740.74</v>
      </c>
      <c r="U20" s="43">
        <v>808836.64000000048</v>
      </c>
      <c r="V20" s="43">
        <v>90495.090000000011</v>
      </c>
      <c r="W20" s="43">
        <v>32412.390000000003</v>
      </c>
      <c r="X20" s="43">
        <v>15417.390000000001</v>
      </c>
      <c r="Y20" s="43">
        <v>25600.410000000007</v>
      </c>
      <c r="Z20" s="43">
        <v>8634.2400000000016</v>
      </c>
      <c r="AA20" s="43">
        <v>7226.369999999999</v>
      </c>
      <c r="AB20" s="51">
        <v>31721.429999999997</v>
      </c>
      <c r="AD20" s="162" t="s">
        <v>144</v>
      </c>
      <c r="AE20" s="20"/>
      <c r="AF20" s="20"/>
      <c r="AG20" s="20"/>
      <c r="BS20" s="117" t="s">
        <v>135</v>
      </c>
      <c r="BT20" s="16"/>
      <c r="BU20" s="16"/>
      <c r="BV20" s="16"/>
      <c r="BW20" s="16"/>
    </row>
    <row r="21" spans="1:81" ht="15.75" x14ac:dyDescent="0.25">
      <c r="A21" s="41" t="s">
        <v>39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>
        <v>1681226.44</v>
      </c>
      <c r="V21" s="43">
        <v>1152939.6799999997</v>
      </c>
      <c r="W21" s="43">
        <v>85264.41</v>
      </c>
      <c r="X21" s="43">
        <v>33305.71</v>
      </c>
      <c r="Y21" s="43">
        <v>20838.310000000012</v>
      </c>
      <c r="Z21" s="43">
        <v>27531.350000000002</v>
      </c>
      <c r="AA21" s="43">
        <v>236129.15</v>
      </c>
      <c r="AB21" s="51">
        <v>4185.3900000000003</v>
      </c>
      <c r="AD21" s="113"/>
      <c r="AE21" s="20"/>
      <c r="AF21" s="20"/>
      <c r="AG21" s="20"/>
      <c r="BS21" s="113" t="s">
        <v>110</v>
      </c>
      <c r="BT21" s="20"/>
      <c r="BU21" s="20"/>
      <c r="BV21" s="20"/>
      <c r="BW21" s="20"/>
    </row>
    <row r="22" spans="1:81" ht="15.75" x14ac:dyDescent="0.25">
      <c r="A22" s="41" t="s">
        <v>40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>
        <v>1324626.4400000006</v>
      </c>
      <c r="W22" s="43">
        <v>847573.68</v>
      </c>
      <c r="X22" s="43">
        <v>220515.06000000006</v>
      </c>
      <c r="Y22" s="43">
        <v>63729.089999999982</v>
      </c>
      <c r="Z22" s="43">
        <v>16928.670000000002</v>
      </c>
      <c r="AA22" s="43">
        <v>3364.3499999999995</v>
      </c>
      <c r="AB22" s="51">
        <v>4650.08</v>
      </c>
      <c r="AD22" s="113"/>
      <c r="AE22" s="20"/>
      <c r="AF22" s="20"/>
      <c r="AG22" s="20"/>
      <c r="BS22" s="161" t="s">
        <v>147</v>
      </c>
    </row>
    <row r="23" spans="1:81" x14ac:dyDescent="0.25">
      <c r="A23" s="41" t="s">
        <v>41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>
        <v>1534620.51</v>
      </c>
      <c r="X23" s="43">
        <v>718416.57</v>
      </c>
      <c r="Y23" s="43">
        <v>114044.14999999994</v>
      </c>
      <c r="Z23" s="43">
        <v>25548.110000000004</v>
      </c>
      <c r="AA23" s="43">
        <v>6455.9600000000019</v>
      </c>
      <c r="AB23" s="51">
        <v>22301.880000000008</v>
      </c>
    </row>
    <row r="24" spans="1:81" x14ac:dyDescent="0.25">
      <c r="A24" s="41" t="s">
        <v>42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>
        <v>1537937.88</v>
      </c>
      <c r="Y24" s="43">
        <v>734042.84</v>
      </c>
      <c r="Z24" s="43">
        <v>57363.29</v>
      </c>
      <c r="AA24" s="43">
        <v>29177.969999999998</v>
      </c>
      <c r="AB24" s="51">
        <v>30803.460000000006</v>
      </c>
    </row>
    <row r="25" spans="1:81" x14ac:dyDescent="0.25">
      <c r="A25" s="41" t="s">
        <v>43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>
        <v>1820652.0499999998</v>
      </c>
      <c r="Z25" s="43">
        <v>797939.92</v>
      </c>
      <c r="AA25" s="43">
        <v>233402.90999999992</v>
      </c>
      <c r="AB25" s="51">
        <v>33887.050000000003</v>
      </c>
    </row>
    <row r="26" spans="1:81" x14ac:dyDescent="0.25">
      <c r="A26" s="41" t="s">
        <v>44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>
        <v>1463229.62</v>
      </c>
      <c r="AA26" s="43">
        <v>814004.61</v>
      </c>
      <c r="AB26" s="51">
        <v>501478.99</v>
      </c>
    </row>
    <row r="27" spans="1:81" x14ac:dyDescent="0.25">
      <c r="A27" s="41" t="s">
        <v>45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>
        <v>1388642.17</v>
      </c>
      <c r="AB27" s="51">
        <v>809006.64</v>
      </c>
    </row>
    <row r="28" spans="1:81" ht="15.75" thickBot="1" x14ac:dyDescent="0.3">
      <c r="A28" s="155" t="s">
        <v>46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9">
        <v>1822806.3</v>
      </c>
    </row>
    <row r="29" spans="1:81" ht="16.5" thickTop="1" x14ac:dyDescent="0.25">
      <c r="A29" s="117" t="s">
        <v>143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81" ht="15.75" x14ac:dyDescent="0.25">
      <c r="A30" s="11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4" spans="35:51" x14ac:dyDescent="0.25">
      <c r="AK34" s="14"/>
      <c r="AL34" s="14"/>
    </row>
    <row r="35" spans="35:51" x14ac:dyDescent="0.25">
      <c r="AI35" s="12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 30.3</vt:lpstr>
      <vt:lpstr>Sec 30.5</vt:lpstr>
      <vt:lpstr>Chp 31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Stuart Klugman</cp:lastModifiedBy>
  <dcterms:created xsi:type="dcterms:W3CDTF">2011-05-02T06:12:49Z</dcterms:created>
  <dcterms:modified xsi:type="dcterms:W3CDTF">2017-09-13T15:44:41Z</dcterms:modified>
</cp:coreProperties>
</file>