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Q:\Aleshia\Fall 2024 Solutions\"/>
    </mc:Choice>
  </mc:AlternateContent>
  <xr:revisionPtr revIDLastSave="0" documentId="8_{CA8A6A08-F41D-4DD6-A4B6-BA3D572BAFC3}" xr6:coauthVersionLast="47" xr6:coauthVersionMax="47" xr10:uidLastSave="{00000000-0000-0000-0000-000000000000}"/>
  <bookViews>
    <workbookView xWindow="1170" yWindow="1170" windowWidth="20460" windowHeight="10440" firstSheet="4" activeTab="5" xr2:uid="{46D6EA56-2EA3-45E3-82A1-A902588E2FC8}"/>
  </bookViews>
  <sheets>
    <sheet name="Q3(c) Model Solution" sheetId="2" r:id="rId1"/>
    <sheet name="Q4 Calc (a)(i)" sheetId="3" r:id="rId2"/>
    <sheet name="Q4 Calc (a)(ii)" sheetId="4" r:id="rId3"/>
    <sheet name="Q4 Calc (b)(i)" sheetId="5" r:id="rId4"/>
    <sheet name="Solution 6(a)" sheetId="6" r:id="rId5"/>
    <sheet name="Solution 6(b)" sheetId="7" r:id="rId6"/>
  </sheets>
  <externalReferences>
    <externalReference r:id="rId7"/>
    <externalReference r:id="rId8"/>
  </externalReferences>
  <definedNames>
    <definedName name="CognitiveLevels" localSheetId="1">'[1]syllabus list'!$B$73:$B$76</definedName>
    <definedName name="CognitiveLevels" localSheetId="2">'[1]syllabus list'!$B$73:$B$76</definedName>
    <definedName name="CognitiveLevels" localSheetId="3">'[1]syllabus list'!$B$73:$B$76</definedName>
    <definedName name="CognitiveLevels">'[2]syllabus list'!$B$73:$B$76</definedName>
    <definedName name="CTE0">#REF!</definedName>
    <definedName name="GMABRN_ManyMonte">#REF!</definedName>
    <definedName name="GMABRN_MonteOut">#REF!</definedName>
    <definedName name="GMABRN_Nscen">#REF!</definedName>
    <definedName name="GMABRN_seed">#REF!</definedName>
    <definedName name="GMABRN_VarRed">#REF!</definedName>
    <definedName name="LOutcomeList" localSheetId="1">'[1]syllabus list'!$A$73:$A$77</definedName>
    <definedName name="LOutcomeList" localSheetId="2">'[1]syllabus list'!$A$73:$A$77</definedName>
    <definedName name="LOutcomeList" localSheetId="3">'[1]syllabus list'!$A$73:$A$77</definedName>
    <definedName name="LOutcomeList">'[2]syllabus list'!$A$73:$A$77</definedName>
    <definedName name="Output_GMABRN">#REF!</definedName>
    <definedName name="Q_sources" localSheetId="1">[1]Q1!$C$9:$C$16</definedName>
    <definedName name="Q_sources" localSheetId="2">[1]Q1!$C$9:$C$16</definedName>
    <definedName name="Q_sources" localSheetId="3">[1]Q1!$C$9:$C$16</definedName>
    <definedName name="Q_sources">[2]Q1!$C$9:$C$16</definedName>
    <definedName name="rand_GMABRN">#REF!</definedName>
    <definedName name="SyllabusListing" localSheetId="1">'[1]syllabus list'!$B$4:$B$71</definedName>
    <definedName name="SyllabusListing" localSheetId="2">'[1]syllabus list'!$B$4:$B$71</definedName>
    <definedName name="SyllabusListing" localSheetId="3">'[1]syllabus list'!$B$4:$B$71</definedName>
    <definedName name="SyllabusListing">'[2]syllabus list'!$B$4:$B$71</definedName>
    <definedName name="Year" localSheetId="1">[1]instructions!$E$2</definedName>
    <definedName name="Year" localSheetId="2">[1]instructions!$E$2</definedName>
    <definedName name="Year" localSheetId="3">[1]instructions!$E$2</definedName>
    <definedName name="Year">[2]instructions!$E$2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N14" i="7" s="1"/>
  <c r="J14" i="7"/>
  <c r="K14" i="7"/>
  <c r="L14" i="7"/>
  <c r="M14" i="7"/>
  <c r="H15" i="7"/>
  <c r="I15" i="7" s="1"/>
  <c r="J15" i="7"/>
  <c r="J16" i="7"/>
  <c r="J17" i="7"/>
  <c r="J18" i="7"/>
  <c r="J19" i="7"/>
  <c r="J20" i="7"/>
  <c r="J21" i="7"/>
  <c r="J22" i="7"/>
  <c r="J23" i="7"/>
  <c r="J24" i="7"/>
  <c r="J25" i="7"/>
  <c r="J26" i="7"/>
  <c r="J27" i="7"/>
  <c r="J28" i="7"/>
  <c r="H22" i="6"/>
  <c r="H24" i="6" s="1"/>
  <c r="H25" i="6" s="1"/>
  <c r="H26" i="6" s="1"/>
  <c r="I22" i="6"/>
  <c r="J22" i="6"/>
  <c r="H23" i="6"/>
  <c r="I23" i="6"/>
  <c r="J23" i="6"/>
  <c r="I24" i="6"/>
  <c r="J24" i="6"/>
  <c r="I25" i="6"/>
  <c r="I26" i="6" s="1"/>
  <c r="J25" i="6"/>
  <c r="J26" i="6" s="1"/>
  <c r="L37" i="6"/>
  <c r="O37" i="6"/>
  <c r="R37" i="6"/>
  <c r="I40" i="6"/>
  <c r="Q40" i="6" s="1"/>
  <c r="J40" i="6"/>
  <c r="K40" i="6"/>
  <c r="M40" i="6"/>
  <c r="N40" i="6" s="1"/>
  <c r="P40" i="6"/>
  <c r="H41" i="6"/>
  <c r="I41" i="6"/>
  <c r="J41" i="6"/>
  <c r="K41" i="6"/>
  <c r="M41" i="6"/>
  <c r="N41" i="6"/>
  <c r="P41" i="6"/>
  <c r="Q41" i="6"/>
  <c r="H42" i="6"/>
  <c r="I42" i="6" s="1"/>
  <c r="J42" i="6"/>
  <c r="M42" i="6"/>
  <c r="P42" i="6"/>
  <c r="J43" i="6"/>
  <c r="M43" i="6"/>
  <c r="P43" i="6"/>
  <c r="J44" i="6"/>
  <c r="M44" i="6"/>
  <c r="P44" i="6"/>
  <c r="J45" i="6"/>
  <c r="M45" i="6"/>
  <c r="P45" i="6"/>
  <c r="J46" i="6"/>
  <c r="M46" i="6"/>
  <c r="P46" i="6"/>
  <c r="J47" i="6"/>
  <c r="M47" i="6"/>
  <c r="P47" i="6"/>
  <c r="J48" i="6"/>
  <c r="M48" i="6"/>
  <c r="P48" i="6"/>
  <c r="J49" i="6"/>
  <c r="M49" i="6"/>
  <c r="P49" i="6"/>
  <c r="M50" i="6"/>
  <c r="P50" i="6"/>
  <c r="M51" i="6"/>
  <c r="P51" i="6"/>
  <c r="P52" i="6"/>
  <c r="P53" i="6"/>
  <c r="P54" i="6"/>
  <c r="P55" i="6"/>
  <c r="H16" i="7" l="1"/>
  <c r="K15" i="7"/>
  <c r="L15" i="7" s="1"/>
  <c r="N15" i="7"/>
  <c r="K42" i="6"/>
  <c r="N42" i="6"/>
  <c r="Q42" i="6"/>
  <c r="H43" i="6"/>
  <c r="M15" i="7" l="1"/>
  <c r="H17" i="7"/>
  <c r="I16" i="7"/>
  <c r="N16" i="7" s="1"/>
  <c r="K16" i="7"/>
  <c r="L16" i="7" s="1"/>
  <c r="H44" i="6"/>
  <c r="I43" i="6"/>
  <c r="M16" i="7" l="1"/>
  <c r="N17" i="7"/>
  <c r="I17" i="7"/>
  <c r="K17" i="7"/>
  <c r="L17" i="7" s="1"/>
  <c r="M17" i="7" s="1"/>
  <c r="H18" i="7"/>
  <c r="Q43" i="6"/>
  <c r="K43" i="6"/>
  <c r="N43" i="6"/>
  <c r="H45" i="6"/>
  <c r="I44" i="6"/>
  <c r="I18" i="7" l="1"/>
  <c r="K18" i="7"/>
  <c r="L18" i="7" s="1"/>
  <c r="M18" i="7" s="1"/>
  <c r="N18" i="7"/>
  <c r="H19" i="7"/>
  <c r="L44" i="6"/>
  <c r="O44" i="6"/>
  <c r="R44" i="6"/>
  <c r="I45" i="6"/>
  <c r="H46" i="6"/>
  <c r="I31" i="6"/>
  <c r="H31" i="6"/>
  <c r="J31" i="6"/>
  <c r="M19" i="7" l="1"/>
  <c r="H20" i="7"/>
  <c r="I19" i="7"/>
  <c r="N19" i="7" s="1"/>
  <c r="K19" i="7"/>
  <c r="L19" i="7" s="1"/>
  <c r="O45" i="6"/>
  <c r="L45" i="6"/>
  <c r="R45" i="6"/>
  <c r="H47" i="6"/>
  <c r="I46" i="6"/>
  <c r="K20" i="7" l="1"/>
  <c r="L20" i="7" s="1"/>
  <c r="M20" i="7" s="1"/>
  <c r="H21" i="7"/>
  <c r="I20" i="7"/>
  <c r="N20" i="7" s="1"/>
  <c r="L46" i="6"/>
  <c r="R46" i="6"/>
  <c r="O46" i="6"/>
  <c r="H48" i="6"/>
  <c r="I47" i="6"/>
  <c r="H22" i="7" l="1"/>
  <c r="I21" i="7"/>
  <c r="N21" i="7"/>
  <c r="K21" i="7"/>
  <c r="L21" i="7" s="1"/>
  <c r="M21" i="7" s="1"/>
  <c r="L47" i="6"/>
  <c r="O47" i="6"/>
  <c r="R47" i="6"/>
  <c r="I48" i="6"/>
  <c r="H49" i="6"/>
  <c r="I22" i="7" l="1"/>
  <c r="H23" i="7"/>
  <c r="K22" i="7"/>
  <c r="L22" i="7" s="1"/>
  <c r="M22" i="7"/>
  <c r="N22" i="7"/>
  <c r="L48" i="6"/>
  <c r="R48" i="6"/>
  <c r="O48" i="6"/>
  <c r="H50" i="6"/>
  <c r="I49" i="6"/>
  <c r="I23" i="7" l="1"/>
  <c r="N23" i="7" s="1"/>
  <c r="K23" i="7"/>
  <c r="L23" i="7" s="1"/>
  <c r="M23" i="7" s="1"/>
  <c r="H24" i="7"/>
  <c r="L49" i="6"/>
  <c r="R49" i="6"/>
  <c r="O49" i="6"/>
  <c r="I50" i="6"/>
  <c r="H51" i="6"/>
  <c r="K24" i="7" l="1"/>
  <c r="L24" i="7" s="1"/>
  <c r="M24" i="7"/>
  <c r="I24" i="7"/>
  <c r="N24" i="7" s="1"/>
  <c r="H25" i="7"/>
  <c r="H52" i="6"/>
  <c r="I51" i="6"/>
  <c r="O50" i="6"/>
  <c r="R50" i="6"/>
  <c r="H33" i="6"/>
  <c r="H34" i="6" s="1"/>
  <c r="H35" i="6" s="1"/>
  <c r="H32" i="6"/>
  <c r="K25" i="7" l="1"/>
  <c r="L25" i="7" s="1"/>
  <c r="M25" i="7" s="1"/>
  <c r="H26" i="7"/>
  <c r="I25" i="7"/>
  <c r="N25" i="7" s="1"/>
  <c r="O51" i="6"/>
  <c r="R51" i="6"/>
  <c r="I52" i="6"/>
  <c r="R52" i="6" s="1"/>
  <c r="H53" i="6"/>
  <c r="K26" i="7" l="1"/>
  <c r="L26" i="7" s="1"/>
  <c r="M26" i="7" s="1"/>
  <c r="I26" i="7"/>
  <c r="N26" i="7" s="1"/>
  <c r="H27" i="7"/>
  <c r="H54" i="6"/>
  <c r="I53" i="6"/>
  <c r="R53" i="6" s="1"/>
  <c r="I33" i="6"/>
  <c r="I34" i="6" s="1"/>
  <c r="I35" i="6" s="1"/>
  <c r="I32" i="6"/>
  <c r="I27" i="7" l="1"/>
  <c r="M27" i="7"/>
  <c r="N27" i="7"/>
  <c r="H28" i="7"/>
  <c r="K27" i="7"/>
  <c r="L27" i="7" s="1"/>
  <c r="I54" i="6"/>
  <c r="R54" i="6" s="1"/>
  <c r="H55" i="6"/>
  <c r="I28" i="7" l="1"/>
  <c r="N28" i="7" s="1"/>
  <c r="N29" i="7" s="1"/>
  <c r="H37" i="7" s="1"/>
  <c r="H42" i="7" s="1"/>
  <c r="K28" i="7"/>
  <c r="L28" i="7" s="1"/>
  <c r="L29" i="7" s="1"/>
  <c r="I55" i="6"/>
  <c r="R55" i="6" s="1"/>
  <c r="H56" i="6"/>
  <c r="M28" i="7" l="1"/>
  <c r="M29" i="7" s="1"/>
  <c r="H33" i="7" s="1"/>
  <c r="H34" i="7" s="1"/>
  <c r="H41" i="7"/>
  <c r="H43" i="7" s="1"/>
  <c r="I56" i="6"/>
  <c r="H57" i="6"/>
  <c r="J33" i="6"/>
  <c r="J34" i="6" s="1"/>
  <c r="J35" i="6" s="1"/>
  <c r="J32" i="6"/>
  <c r="H58" i="6" l="1"/>
  <c r="I57" i="6"/>
  <c r="D2" i="5"/>
  <c r="E2" i="5"/>
  <c r="D3" i="5"/>
  <c r="E3" i="5"/>
  <c r="D4" i="5"/>
  <c r="E4" i="5"/>
  <c r="C25" i="5"/>
  <c r="B26" i="5"/>
  <c r="C26" i="5"/>
  <c r="D26" i="5"/>
  <c r="B5" i="4"/>
  <c r="B9" i="4" s="1"/>
  <c r="B11" i="4" s="1"/>
  <c r="B6" i="4"/>
  <c r="B7" i="4"/>
  <c r="B13" i="3"/>
  <c r="B16" i="3" s="1"/>
  <c r="C16" i="3"/>
  <c r="D16" i="3" s="1"/>
  <c r="C17" i="3"/>
  <c r="B18" i="3"/>
  <c r="C18" i="3"/>
  <c r="D18" i="3"/>
  <c r="E18" i="3" s="1"/>
  <c r="D21" i="3"/>
  <c r="I58" i="6" l="1"/>
  <c r="H59" i="6"/>
  <c r="I59" i="6" s="1"/>
  <c r="D17" i="3"/>
  <c r="E17" i="3" s="1"/>
  <c r="E16" i="3"/>
  <c r="B17" i="3"/>
  <c r="D19" i="3" l="1"/>
  <c r="B48" i="2"/>
  <c r="B47" i="2"/>
  <c r="C52" i="2"/>
  <c r="D52" i="2" s="1"/>
  <c r="E52" i="2" s="1"/>
  <c r="F52" i="2" s="1"/>
  <c r="G52" i="2" s="1"/>
  <c r="H52" i="2" s="1"/>
  <c r="I52" i="2" s="1"/>
  <c r="C42" i="2"/>
  <c r="C43" i="2" s="1"/>
  <c r="D41" i="2" s="1"/>
  <c r="D42" i="2" s="1"/>
  <c r="C29" i="2"/>
  <c r="C30" i="2" l="1"/>
  <c r="C32" i="2" s="1"/>
  <c r="C33" i="2" s="1"/>
  <c r="D28" i="2" s="1"/>
  <c r="C31" i="2"/>
  <c r="C48" i="2"/>
  <c r="D43" i="2"/>
  <c r="E41" i="2" s="1"/>
  <c r="B46" i="2"/>
  <c r="B50" i="2" s="1"/>
  <c r="D31" i="2" l="1"/>
  <c r="D30" i="2"/>
  <c r="D32" i="2" s="1"/>
  <c r="E42" i="2"/>
  <c r="D48" i="2"/>
  <c r="E43" i="2"/>
  <c r="F41" i="2" s="1"/>
  <c r="F42" i="2" l="1"/>
  <c r="E48" i="2"/>
  <c r="C46" i="2"/>
  <c r="C50" i="2" s="1"/>
  <c r="D33" i="2"/>
  <c r="E28" i="2" s="1"/>
  <c r="F43" i="2"/>
  <c r="G41" i="2" s="1"/>
  <c r="G42" i="2" l="1"/>
  <c r="F48" i="2"/>
  <c r="E30" i="2"/>
  <c r="E31" i="2"/>
  <c r="E32" i="2" s="1"/>
  <c r="D46" i="2"/>
  <c r="D50" i="2" s="1"/>
  <c r="G43" i="2"/>
  <c r="H41" i="2" s="1"/>
  <c r="H42" i="2" l="1"/>
  <c r="G48" i="2"/>
  <c r="E33" i="2"/>
  <c r="F28" i="2" s="1"/>
  <c r="H43" i="2"/>
  <c r="I41" i="2" s="1"/>
  <c r="I42" i="2" l="1"/>
  <c r="H48" i="2"/>
  <c r="F30" i="2"/>
  <c r="F32" i="2" s="1"/>
  <c r="F31" i="2"/>
  <c r="I43" i="2"/>
  <c r="E46" i="2" l="1"/>
  <c r="E50" i="2" s="1"/>
  <c r="F33" i="2"/>
  <c r="G28" i="2" s="1"/>
  <c r="G30" i="2" l="1"/>
  <c r="G31" i="2"/>
  <c r="G32" i="2" s="1"/>
  <c r="G33" i="2" l="1"/>
  <c r="H28" i="2" s="1"/>
  <c r="F46" i="2"/>
  <c r="F50" i="2" s="1"/>
  <c r="H30" i="2" l="1"/>
  <c r="H31" i="2"/>
  <c r="H32" i="2" l="1"/>
  <c r="G46" i="2"/>
  <c r="G50" i="2" s="1"/>
  <c r="H33" i="2"/>
  <c r="I28" i="2" s="1"/>
  <c r="I31" i="2" l="1"/>
  <c r="I30" i="2"/>
  <c r="I32" i="2" s="1"/>
  <c r="H46" i="2" l="1"/>
  <c r="H50" i="2" s="1"/>
  <c r="I33" i="2"/>
  <c r="I35" i="2" l="1"/>
  <c r="I49" i="2" s="1"/>
  <c r="I50" i="2" s="1"/>
  <c r="I54" i="2" s="1"/>
</calcChain>
</file>

<file path=xl/sharedStrings.xml><?xml version="1.0" encoding="utf-8"?>
<sst xmlns="http://schemas.openxmlformats.org/spreadsheetml/2006/main" count="194" uniqueCount="136">
  <si>
    <t>Initial Premium (collected at start of year)</t>
  </si>
  <si>
    <t>AV</t>
  </si>
  <si>
    <t>Management Fee (collected at start of year)</t>
  </si>
  <si>
    <t>BoP</t>
  </si>
  <si>
    <t>Rider Fee (collected at start of year)</t>
  </si>
  <si>
    <t>Premium</t>
  </si>
  <si>
    <t>Fees</t>
  </si>
  <si>
    <t>Initial Expense (incurred at start of year)</t>
  </si>
  <si>
    <t>Mgmt Fee</t>
  </si>
  <si>
    <t>Annual Maintenance Expense (incurred at start of year)</t>
  </si>
  <si>
    <t>Rider Fee</t>
  </si>
  <si>
    <t>GMMB</t>
  </si>
  <si>
    <t>Returns</t>
  </si>
  <si>
    <t>Term</t>
  </si>
  <si>
    <t>7 years</t>
  </si>
  <si>
    <t>EoP</t>
  </si>
  <si>
    <t>Annual Decrement Rate (at end of year)</t>
  </si>
  <si>
    <t>Fund Return (at end of year)</t>
  </si>
  <si>
    <t>Surrender Charge</t>
  </si>
  <si>
    <t>N/A</t>
  </si>
  <si>
    <t>Risk-free Rate</t>
  </si>
  <si>
    <t>Lives</t>
  </si>
  <si>
    <t>Decrement</t>
  </si>
  <si>
    <t>Initial Exp</t>
  </si>
  <si>
    <t>Maint Exp</t>
  </si>
  <si>
    <t>CF</t>
  </si>
  <si>
    <t>vt</t>
  </si>
  <si>
    <t>Question (3)(c)</t>
  </si>
  <si>
    <t>For the VA with GMMB, you are given the following:</t>
  </si>
  <si>
    <t>2.0% of fund value</t>
  </si>
  <si>
    <t>5.0% of initial premium</t>
  </si>
  <si>
    <t>120% of initial premium</t>
  </si>
  <si>
    <t xml:space="preserve">(i) Calculate the expected maturity payment for a surviving policyholder.  </t>
  </si>
  <si>
    <t>Show all work.</t>
  </si>
  <si>
    <t>(ii) Calculate the present value of the expected profit to the insurer at time 0.</t>
  </si>
  <si>
    <t>i)</t>
  </si>
  <si>
    <t>ii)</t>
  </si>
  <si>
    <t>Calculation Key Inputs:</t>
  </si>
  <si>
    <t>PV (Expected to profit to the insurer) =</t>
  </si>
  <si>
    <t>Payment for a suriving policyholder =</t>
  </si>
  <si>
    <t>survivorship factor calculation</t>
  </si>
  <si>
    <t>decremented cash flows calculation</t>
  </si>
  <si>
    <t>Check</t>
  </si>
  <si>
    <t>Does this match intern?</t>
  </si>
  <si>
    <t>KRD</t>
  </si>
  <si>
    <t>Effective Duration</t>
  </si>
  <si>
    <t>Weight</t>
  </si>
  <si>
    <t>t</t>
  </si>
  <si>
    <t>Total portfolio value =</t>
  </si>
  <si>
    <t>KRD = (Price of zero-coupon bond/total portfolio value) * zero-coupon bond's KRD</t>
  </si>
  <si>
    <t>Price</t>
  </si>
  <si>
    <t xml:space="preserve">Portfolio B effective duration = </t>
  </si>
  <si>
    <t>KRD from part a</t>
  </si>
  <si>
    <t>Portfolio B effective duration equals the linear combination of each cash flow's key rate duration</t>
  </si>
  <si>
    <t>Portfolio A effective duration is given as 7.00</t>
  </si>
  <si>
    <t>B</t>
  </si>
  <si>
    <t>A</t>
  </si>
  <si>
    <t>Scenario Z</t>
  </si>
  <si>
    <t>Scenario Y</t>
  </si>
  <si>
    <t>Scenario X</t>
  </si>
  <si>
    <t>Portfolio</t>
  </si>
  <si>
    <t>Change</t>
  </si>
  <si>
    <t>- Portfolio B = -D(3) * (-0.20%) * MV + -D(15) * 0.20% * MV</t>
  </si>
  <si>
    <t>- Portfolio A is unaffected since the 7-year rate does not change</t>
  </si>
  <si>
    <t>Scenario Z:</t>
  </si>
  <si>
    <t>- Portfolios A and B = -(EffD)*(-0.20%)*MV</t>
  </si>
  <si>
    <t>Level shift so can use effective duration</t>
  </si>
  <si>
    <t>Scenario Y:</t>
  </si>
  <si>
    <t>- Portfolio B = -D(3) * 0.20% * MV + -D(15) * (-0.20%) * MV</t>
  </si>
  <si>
    <t>Scenario X:</t>
  </si>
  <si>
    <t>Bond</t>
  </si>
  <si>
    <t>Cash Flow</t>
  </si>
  <si>
    <t>Interest Rate Risk: The price of a bond fluctuates with changes in interest rates. When rates rise, bond prices fall, and vice versa. For investors who may need to sell a bond before maturity, this price volatility can lead to significant capital losses.</t>
  </si>
  <si>
    <t>Reinvestment Risk: YTM calculations assume that coupon payments are reinvested at the same rate. If interest rates decline, the actual return on reinvested coupons may be lower, reducing the bond’s overall value. This risk is particularly significant for bonds with higher coupon rates and longer maturities.</t>
  </si>
  <si>
    <t>Yield-to-maturity (YTM) represents the internal rate of return an investor would earn by holding a bond until it matures. However, focusing solely on maximizing YTM can expose investors to certain risks:</t>
  </si>
  <si>
    <t xml:space="preserve">Part (iii) </t>
  </si>
  <si>
    <t>It is recommended that your company purchase Bond Y as it has the highest total return on a bond equivalent basis</t>
  </si>
  <si>
    <t xml:space="preserve">Part (ii) </t>
  </si>
  <si>
    <t>PV @ t=2</t>
  </si>
  <si>
    <t>FV @ t=2</t>
  </si>
  <si>
    <t>Cash Flows</t>
  </si>
  <si>
    <t>Period</t>
  </si>
  <si>
    <t>Year</t>
  </si>
  <si>
    <t>Bond Z</t>
  </si>
  <si>
    <t>Bond Y</t>
  </si>
  <si>
    <t>Bond X</t>
  </si>
  <si>
    <t>Total Return (Bond Equivalent):</t>
  </si>
  <si>
    <t>Semi-Annual Total Return:</t>
  </si>
  <si>
    <t>Total Future Dollars:</t>
  </si>
  <si>
    <t>Bond Price at End of 2 Years:</t>
  </si>
  <si>
    <t>Coupon plus interest on interest:</t>
  </si>
  <si>
    <t>Part (i) Using Cash Flows:</t>
  </si>
  <si>
    <t>maturity.</t>
  </si>
  <si>
    <t>(iii)  Critique the option of purchasing a different security with higher yield-to-</t>
  </si>
  <si>
    <t>Justify your answer.</t>
  </si>
  <si>
    <t xml:space="preserve">(ii) Recommend which bond to purchase, based on your calculation from (i). </t>
  </si>
  <si>
    <t>Annual Reinvestment Rate:</t>
  </si>
  <si>
    <t>Part (i) Using Formulas:</t>
  </si>
  <si>
    <t>(i) Calculate the total return of each bond on a bond-equivalent basis.</t>
  </si>
  <si>
    <t xml:space="preserve">The annual reinvestment rate is 5% compounded semi-annually </t>
  </si>
  <si>
    <t>All bonds pay semi-annual coupons</t>
  </si>
  <si>
    <t>Projected Annual Yield on comparable bonds after 2 years</t>
  </si>
  <si>
    <t>Term to Maturity (years)</t>
  </si>
  <si>
    <t>Current Price</t>
  </si>
  <si>
    <t>Par Value</t>
  </si>
  <si>
    <t>Annual Coupon Rate</t>
  </si>
  <si>
    <t>payout.</t>
  </si>
  <si>
    <t xml:space="preserve">will need to purchase a longer duration bond and sell it before maturity to fund the </t>
  </si>
  <si>
    <t xml:space="preserve">investment strategy to support the payout.  Due to limited market liquidity, your company </t>
  </si>
  <si>
    <t xml:space="preserve">Your company expects a fixed cash payout in two years and is developing an </t>
  </si>
  <si>
    <t>Question (6)(a)</t>
  </si>
  <si>
    <t>Total change in MV:</t>
  </si>
  <si>
    <t>Convexity Impact:</t>
  </si>
  <si>
    <t>Duration Impact:</t>
  </si>
  <si>
    <t>Change in interest rate:</t>
  </si>
  <si>
    <t>part (iii)</t>
  </si>
  <si>
    <t>Convexity:</t>
  </si>
  <si>
    <t>part (ii)</t>
  </si>
  <si>
    <t>Modified duration:</t>
  </si>
  <si>
    <t>Macaulay duration:</t>
  </si>
  <si>
    <t>part (i)</t>
  </si>
  <si>
    <t>Sum</t>
  </si>
  <si>
    <t>using the information calculated in (i) and (ii).</t>
  </si>
  <si>
    <t xml:space="preserve">(iii) Estimate the change in market value of a 1% increase in interest rates </t>
  </si>
  <si>
    <t>t*(t+1)*CF*v^(t+2)</t>
  </si>
  <si>
    <t>t*v^t*CF(t)</t>
  </si>
  <si>
    <t>v^t*CF(t)</t>
  </si>
  <si>
    <t>v^t</t>
  </si>
  <si>
    <t>(t +1)</t>
  </si>
  <si>
    <t>(ii) Calculate the convexity of the bond.</t>
  </si>
  <si>
    <t>(i) Calculate the modified duration of the bond.</t>
  </si>
  <si>
    <t>Market Value</t>
  </si>
  <si>
    <t>15 years</t>
  </si>
  <si>
    <t>Time to Maturity</t>
  </si>
  <si>
    <t>You are given the following information about a bond:</t>
  </si>
  <si>
    <t>Question (6)(b)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</si>
</sst>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0_ ;\-#,##0\ "/>
    <numFmt numFmtId="165" formatCode="#,##0.0000_ ;\-#,##0.0000\ "/>
    <numFmt numFmtId="166" formatCode="0.0"/>
    <numFmt numFmtId="167" formatCode="_(&quot;$&quot;* #,##0_);_(&quot;$&quot;* \(#,##0\);_(&quot;$&quot;* &quot;-&quot;??_);_(@_)"/>
  </numFmts>
  <fonts count="9" x14ac:knownFonts="1">
    <font>
      <sz val="10"/>
      <name val="Arial"/>
      <family val="2"/>
    </font>
    <font>
      <sz val="11"/>
      <color theme="1"/>
      <name val="Aptos Narrow"/>
      <family val="2"/>
      <scheme val="minor"/>
    </font>
    <font>
      <sz val="11"/>
      <color theme="1"/>
      <name val="Aptos Narrow"/>
      <family val="2"/>
      <scheme val="minor"/>
    </font>
    <font>
      <sz val="10"/>
      <name val="Arial"/>
      <family val="2"/>
    </font>
    <font>
      <b/>
      <sz val="10"/>
      <name val="Arial"/>
      <family val="2"/>
    </font>
    <font>
      <b/>
      <sz val="12"/>
      <color theme="1"/>
      <name val="Times New Roman"/>
      <family val="1"/>
    </font>
    <font>
      <sz val="12"/>
      <color theme="1"/>
      <name val="Times New Roman"/>
      <family val="1"/>
    </font>
    <font>
      <i/>
      <sz val="10"/>
      <name val="Arial"/>
      <family val="2"/>
    </font>
    <font>
      <b/>
      <sz val="11"/>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s>
  <cellStyleXfs count="10">
    <xf numFmtId="0" fontId="0"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44" fontId="3"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3" fontId="3" fillId="0" borderId="0" xfId="0" applyNumberFormat="1" applyFont="1" applyAlignment="1">
      <alignment horizontal="center" vertical="center"/>
    </xf>
    <xf numFmtId="0" fontId="3" fillId="0" borderId="0" xfId="0" applyFont="1"/>
    <xf numFmtId="9" fontId="3" fillId="0" borderId="0" xfId="0" applyNumberFormat="1" applyFont="1" applyAlignment="1">
      <alignment horizontal="center" vertical="center"/>
    </xf>
    <xf numFmtId="164" fontId="3" fillId="0" borderId="0" xfId="1" applyNumberFormat="1" applyFont="1" applyBorder="1" applyAlignment="1">
      <alignment horizontal="center"/>
    </xf>
    <xf numFmtId="0" fontId="3" fillId="0" borderId="0" xfId="0" applyFont="1" applyAlignment="1">
      <alignment horizontal="center" vertical="center"/>
    </xf>
    <xf numFmtId="164" fontId="3" fillId="0" borderId="1" xfId="1" applyNumberFormat="1" applyFont="1" applyBorder="1" applyAlignment="1">
      <alignment horizontal="center"/>
    </xf>
    <xf numFmtId="10" fontId="3" fillId="0" borderId="0" xfId="0" applyNumberFormat="1" applyFont="1" applyAlignment="1">
      <alignment horizontal="center" vertical="center"/>
    </xf>
    <xf numFmtId="0" fontId="3" fillId="0" borderId="0" xfId="0" applyFont="1" applyAlignment="1">
      <alignment horizontal="right"/>
    </xf>
    <xf numFmtId="165" fontId="3" fillId="0" borderId="0" xfId="1" applyNumberFormat="1" applyFont="1" applyBorder="1" applyAlignment="1">
      <alignment horizontal="center"/>
    </xf>
    <xf numFmtId="165" fontId="3" fillId="0" borderId="1" xfId="1" applyNumberFormat="1" applyFont="1" applyBorder="1" applyAlignment="1">
      <alignment horizontal="center"/>
    </xf>
    <xf numFmtId="43" fontId="3" fillId="0" borderId="0" xfId="1" applyFont="1" applyBorder="1"/>
    <xf numFmtId="0" fontId="5" fillId="2" borderId="0" xfId="2" applyFont="1" applyFill="1"/>
    <xf numFmtId="0" fontId="6" fillId="2" borderId="0" xfId="2" applyFont="1" applyFill="1"/>
    <xf numFmtId="0" fontId="6" fillId="0" borderId="0" xfId="2" applyFont="1"/>
    <xf numFmtId="0" fontId="6" fillId="2" borderId="2" xfId="2" applyFont="1" applyFill="1" applyBorder="1" applyAlignment="1">
      <alignment vertical="center"/>
    </xf>
    <xf numFmtId="3" fontId="6" fillId="2" borderId="3" xfId="2" applyNumberFormat="1" applyFont="1" applyFill="1" applyBorder="1" applyAlignment="1">
      <alignment horizontal="center" vertical="center"/>
    </xf>
    <xf numFmtId="0" fontId="6" fillId="2" borderId="4" xfId="2" applyFont="1" applyFill="1" applyBorder="1" applyAlignment="1">
      <alignment vertical="center"/>
    </xf>
    <xf numFmtId="0" fontId="6" fillId="2" borderId="5" xfId="2" applyFont="1" applyFill="1" applyBorder="1" applyAlignment="1">
      <alignment horizontal="center" vertical="center"/>
    </xf>
    <xf numFmtId="10" fontId="6" fillId="2" borderId="5" xfId="2" applyNumberFormat="1" applyFont="1" applyFill="1" applyBorder="1" applyAlignment="1">
      <alignment horizontal="center" vertical="center"/>
    </xf>
    <xf numFmtId="0" fontId="5" fillId="2" borderId="0" xfId="2" applyFont="1" applyFill="1" applyAlignment="1">
      <alignment horizontal="left" vertical="center"/>
    </xf>
    <xf numFmtId="0" fontId="3" fillId="0" borderId="0" xfId="0" applyFont="1" applyAlignment="1">
      <alignment vertical="center" wrapText="1"/>
    </xf>
    <xf numFmtId="164" fontId="4" fillId="0"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left" indent="1"/>
    </xf>
    <xf numFmtId="0" fontId="0" fillId="0" borderId="1" xfId="0" applyBorder="1" applyAlignment="1">
      <alignment horizontal="left" indent="1"/>
    </xf>
    <xf numFmtId="0" fontId="4" fillId="0" borderId="0" xfId="0" applyFont="1" applyAlignment="1">
      <alignment horizontal="right"/>
    </xf>
    <xf numFmtId="0" fontId="7" fillId="0" borderId="0" xfId="0" applyFont="1"/>
    <xf numFmtId="0" fontId="3" fillId="0" borderId="0" xfId="3"/>
    <xf numFmtId="43" fontId="4" fillId="0" borderId="0" xfId="4" applyFont="1" applyFill="1"/>
    <xf numFmtId="43" fontId="3" fillId="0" borderId="0" xfId="3" applyNumberFormat="1"/>
    <xf numFmtId="43" fontId="3" fillId="0" borderId="0" xfId="4" applyFont="1"/>
    <xf numFmtId="43" fontId="3" fillId="0" borderId="0" xfId="4" applyFont="1" applyFill="1"/>
    <xf numFmtId="9" fontId="3" fillId="0" borderId="0" xfId="5" applyFont="1"/>
    <xf numFmtId="2" fontId="3" fillId="0" borderId="0" xfId="3" applyNumberFormat="1"/>
    <xf numFmtId="0" fontId="3" fillId="0" borderId="0" xfId="3" applyAlignment="1">
      <alignment vertical="center"/>
    </xf>
    <xf numFmtId="2" fontId="3" fillId="0" borderId="4" xfId="3" applyNumberFormat="1" applyBorder="1" applyAlignment="1">
      <alignment horizontal="center" vertical="center" wrapText="1"/>
    </xf>
    <xf numFmtId="0" fontId="3" fillId="0" borderId="4" xfId="3" applyBorder="1" applyAlignment="1">
      <alignment horizontal="center" vertical="center" wrapText="1"/>
    </xf>
    <xf numFmtId="0" fontId="3" fillId="0" borderId="2" xfId="3" applyBorder="1" applyAlignment="1">
      <alignment horizontal="center" vertical="center" wrapText="1"/>
    </xf>
    <xf numFmtId="2" fontId="3" fillId="0" borderId="5" xfId="3" applyNumberFormat="1" applyBorder="1" applyAlignment="1">
      <alignment horizontal="center" vertical="center" wrapText="1"/>
    </xf>
    <xf numFmtId="0" fontId="3" fillId="0" borderId="5" xfId="3" applyBorder="1" applyAlignment="1">
      <alignment horizontal="center" vertical="center" wrapText="1"/>
    </xf>
    <xf numFmtId="0" fontId="3" fillId="0" borderId="3" xfId="3" applyBorder="1" applyAlignment="1">
      <alignment horizontal="center" vertical="center" wrapText="1"/>
    </xf>
    <xf numFmtId="0" fontId="4" fillId="0" borderId="0" xfId="3" applyFont="1"/>
    <xf numFmtId="43" fontId="3" fillId="0" borderId="6" xfId="3" applyNumberFormat="1" applyBorder="1" applyAlignment="1">
      <alignment horizontal="center" vertical="center" wrapText="1"/>
    </xf>
    <xf numFmtId="0" fontId="3" fillId="0" borderId="6" xfId="3" applyBorder="1" applyAlignment="1">
      <alignment horizontal="center" vertical="center" wrapText="1"/>
    </xf>
    <xf numFmtId="0" fontId="3" fillId="0" borderId="6" xfId="3" applyBorder="1" applyAlignment="1">
      <alignment horizontal="center"/>
    </xf>
    <xf numFmtId="43" fontId="3" fillId="0" borderId="5" xfId="4" applyFont="1" applyBorder="1" applyAlignment="1">
      <alignment vertical="center" wrapText="1"/>
    </xf>
    <xf numFmtId="43" fontId="3" fillId="0" borderId="4" xfId="4" applyFont="1" applyBorder="1" applyAlignment="1">
      <alignment horizontal="center" vertical="center" wrapText="1"/>
    </xf>
    <xf numFmtId="43" fontId="3" fillId="0" borderId="3" xfId="4" applyFont="1" applyBorder="1" applyAlignment="1">
      <alignment horizontal="center" vertical="center"/>
    </xf>
    <xf numFmtId="43" fontId="3" fillId="0" borderId="2" xfId="4" applyFont="1" applyBorder="1" applyAlignment="1">
      <alignment horizontal="center" vertical="center"/>
    </xf>
    <xf numFmtId="0" fontId="3" fillId="0" borderId="0" xfId="3" quotePrefix="1"/>
    <xf numFmtId="10" fontId="3" fillId="0" borderId="5" xfId="3" applyNumberFormat="1" applyBorder="1" applyAlignment="1">
      <alignment horizontal="center" vertical="center" wrapText="1"/>
    </xf>
    <xf numFmtId="0" fontId="1" fillId="0" borderId="0" xfId="6"/>
    <xf numFmtId="0" fontId="8" fillId="0" borderId="0" xfId="6" applyFont="1"/>
    <xf numFmtId="0" fontId="1" fillId="0" borderId="5" xfId="6" applyBorder="1"/>
    <xf numFmtId="0" fontId="1" fillId="0" borderId="7" xfId="6" applyBorder="1"/>
    <xf numFmtId="0" fontId="1" fillId="0" borderId="8" xfId="6" applyBorder="1"/>
    <xf numFmtId="0" fontId="1" fillId="0" borderId="9" xfId="6" applyBorder="1"/>
    <xf numFmtId="0" fontId="1" fillId="0" borderId="10" xfId="6" applyBorder="1"/>
    <xf numFmtId="166" fontId="1" fillId="0" borderId="9" xfId="6" applyNumberFormat="1" applyBorder="1"/>
    <xf numFmtId="166" fontId="1" fillId="0" borderId="7" xfId="6" applyNumberFormat="1" applyBorder="1"/>
    <xf numFmtId="166" fontId="1" fillId="0" borderId="0" xfId="6" applyNumberFormat="1"/>
    <xf numFmtId="0" fontId="8" fillId="0" borderId="3" xfId="6" applyFont="1" applyBorder="1" applyAlignment="1">
      <alignment horizontal="center"/>
    </xf>
    <xf numFmtId="0" fontId="8" fillId="0" borderId="11" xfId="6" applyFont="1" applyBorder="1" applyAlignment="1">
      <alignment horizontal="center"/>
    </xf>
    <xf numFmtId="0" fontId="8" fillId="0" borderId="12" xfId="6" applyFont="1" applyBorder="1" applyAlignment="1">
      <alignment horizontal="center"/>
    </xf>
    <xf numFmtId="10" fontId="1" fillId="0" borderId="0" xfId="6" applyNumberFormat="1"/>
    <xf numFmtId="9" fontId="1" fillId="0" borderId="0" xfId="6" applyNumberFormat="1"/>
    <xf numFmtId="10" fontId="1" fillId="3" borderId="2" xfId="6" applyNumberFormat="1" applyFill="1" applyBorder="1"/>
    <xf numFmtId="0" fontId="1" fillId="0" borderId="0" xfId="7" applyAlignment="1">
      <alignment horizontal="right"/>
    </xf>
    <xf numFmtId="8" fontId="1" fillId="0" borderId="0" xfId="6" applyNumberFormat="1"/>
    <xf numFmtId="8" fontId="1" fillId="0" borderId="0" xfId="6" applyNumberFormat="1" applyAlignment="1">
      <alignment horizontal="right"/>
    </xf>
    <xf numFmtId="0" fontId="5" fillId="2" borderId="0" xfId="6" applyFont="1" applyFill="1"/>
    <xf numFmtId="0" fontId="1" fillId="0" borderId="0" xfId="6" applyAlignment="1">
      <alignment horizontal="right"/>
    </xf>
    <xf numFmtId="0" fontId="6" fillId="2" borderId="0" xfId="6" applyFont="1" applyFill="1"/>
    <xf numFmtId="0" fontId="5" fillId="2" borderId="0" xfId="6" applyFont="1" applyFill="1" applyAlignment="1">
      <alignment horizontal="left" vertical="center"/>
    </xf>
    <xf numFmtId="0" fontId="6" fillId="2" borderId="0" xfId="6" applyFont="1" applyFill="1" applyAlignment="1">
      <alignment horizontal="left" vertical="center"/>
    </xf>
    <xf numFmtId="10" fontId="6" fillId="2" borderId="5" xfId="6" applyNumberFormat="1" applyFont="1" applyFill="1" applyBorder="1" applyAlignment="1">
      <alignment horizontal="center" vertical="center"/>
    </xf>
    <xf numFmtId="0" fontId="6" fillId="2" borderId="4" xfId="6" applyFont="1" applyFill="1" applyBorder="1" applyAlignment="1">
      <alignment vertical="center"/>
    </xf>
    <xf numFmtId="0" fontId="6" fillId="2" borderId="5" xfId="6" applyFont="1" applyFill="1" applyBorder="1" applyAlignment="1">
      <alignment horizontal="center" vertical="center"/>
    </xf>
    <xf numFmtId="3" fontId="6" fillId="2" borderId="5" xfId="6" applyNumberFormat="1" applyFont="1" applyFill="1" applyBorder="1" applyAlignment="1">
      <alignment horizontal="center" vertical="center"/>
    </xf>
    <xf numFmtId="0" fontId="5" fillId="2" borderId="3" xfId="6" applyFont="1" applyFill="1" applyBorder="1" applyAlignment="1">
      <alignment horizontal="center" vertical="center"/>
    </xf>
    <xf numFmtId="0" fontId="6" fillId="2" borderId="2" xfId="6" applyFont="1" applyFill="1" applyBorder="1" applyAlignment="1">
      <alignment vertical="center"/>
    </xf>
    <xf numFmtId="0" fontId="6" fillId="2" borderId="0" xfId="6" applyFont="1" applyFill="1" applyAlignment="1">
      <alignment vertical="center"/>
    </xf>
    <xf numFmtId="167" fontId="1" fillId="0" borderId="0" xfId="8" applyNumberFormat="1" applyFont="1"/>
    <xf numFmtId="167" fontId="1" fillId="3" borderId="2" xfId="8" applyNumberFormat="1" applyFont="1" applyFill="1" applyBorder="1"/>
    <xf numFmtId="9" fontId="0" fillId="0" borderId="0" xfId="9" applyFont="1"/>
    <xf numFmtId="2" fontId="1" fillId="3" borderId="2" xfId="6" applyNumberFormat="1" applyFill="1" applyBorder="1"/>
    <xf numFmtId="2" fontId="1" fillId="0" borderId="0" xfId="6" applyNumberFormat="1"/>
    <xf numFmtId="1" fontId="1" fillId="0" borderId="2" xfId="6" applyNumberFormat="1" applyBorder="1"/>
    <xf numFmtId="0" fontId="1" fillId="0" borderId="11" xfId="6" applyBorder="1"/>
    <xf numFmtId="0" fontId="1" fillId="0" borderId="12" xfId="6" applyBorder="1"/>
    <xf numFmtId="1" fontId="1" fillId="0" borderId="5" xfId="6" applyNumberFormat="1" applyBorder="1"/>
    <xf numFmtId="1" fontId="1" fillId="0" borderId="7" xfId="6" applyNumberFormat="1" applyBorder="1"/>
    <xf numFmtId="2" fontId="1" fillId="0" borderId="7" xfId="6" applyNumberFormat="1" applyBorder="1"/>
    <xf numFmtId="1" fontId="1" fillId="0" borderId="8" xfId="6" applyNumberFormat="1" applyBorder="1"/>
    <xf numFmtId="1" fontId="1" fillId="0" borderId="9" xfId="6" applyNumberFormat="1" applyBorder="1"/>
    <xf numFmtId="1" fontId="1" fillId="0" borderId="0" xfId="6" applyNumberFormat="1"/>
    <xf numFmtId="1" fontId="1" fillId="0" borderId="10" xfId="6" applyNumberFormat="1" applyBorder="1"/>
    <xf numFmtId="1" fontId="1" fillId="0" borderId="13" xfId="6" applyNumberFormat="1" applyBorder="1"/>
    <xf numFmtId="1" fontId="1" fillId="0" borderId="14" xfId="6" applyNumberFormat="1" applyBorder="1"/>
    <xf numFmtId="2" fontId="1" fillId="4" borderId="15" xfId="6" applyNumberFormat="1" applyFill="1" applyBorder="1"/>
    <xf numFmtId="1" fontId="1" fillId="0" borderId="16" xfId="6" applyNumberFormat="1" applyBorder="1"/>
    <xf numFmtId="3" fontId="6" fillId="2" borderId="5" xfId="6" applyNumberFormat="1" applyFont="1" applyFill="1" applyBorder="1" applyAlignment="1">
      <alignment horizontal="center" vertical="center" wrapText="1"/>
    </xf>
    <xf numFmtId="0" fontId="6" fillId="2" borderId="4" xfId="6" applyFont="1" applyFill="1" applyBorder="1" applyAlignment="1">
      <alignment vertical="center" wrapText="1"/>
    </xf>
    <xf numFmtId="10" fontId="6" fillId="2" borderId="5" xfId="6" applyNumberFormat="1" applyFont="1" applyFill="1" applyBorder="1" applyAlignment="1">
      <alignment horizontal="center" vertical="center" wrapText="1"/>
    </xf>
    <xf numFmtId="0" fontId="6" fillId="2" borderId="3" xfId="6" applyFont="1" applyFill="1" applyBorder="1" applyAlignment="1">
      <alignment horizontal="center" vertical="center" wrapText="1"/>
    </xf>
    <xf numFmtId="0" fontId="6" fillId="2" borderId="2" xfId="6" applyFont="1" applyFill="1" applyBorder="1" applyAlignment="1">
      <alignment vertical="center" wrapText="1"/>
    </xf>
    <xf numFmtId="0" fontId="8" fillId="0" borderId="12" xfId="6" applyFont="1" applyBorder="1" applyAlignment="1">
      <alignment horizontal="center"/>
    </xf>
    <xf numFmtId="0" fontId="8" fillId="0" borderId="11" xfId="6" applyFont="1" applyBorder="1" applyAlignment="1">
      <alignment horizontal="center"/>
    </xf>
    <xf numFmtId="0" fontId="8" fillId="0" borderId="3" xfId="6" applyFont="1" applyBorder="1" applyAlignment="1">
      <alignment horizontal="center"/>
    </xf>
  </cellXfs>
  <cellStyles count="10">
    <cellStyle name="Comma" xfId="1" builtinId="3"/>
    <cellStyle name="Comma 3 2" xfId="4" xr:uid="{427830D3-9F79-4803-9C4D-A5D3F9E40A0B}"/>
    <cellStyle name="Currency 2 2" xfId="8" xr:uid="{C1347DFB-6A6D-4974-8FBB-502D8A8010CF}"/>
    <cellStyle name="Normal" xfId="0" builtinId="0"/>
    <cellStyle name="Normal 2" xfId="2" xr:uid="{503289A7-43FB-407C-90C4-8E173078EBDD}"/>
    <cellStyle name="Normal 2 2" xfId="3" xr:uid="{195D9B2B-C49F-468D-B7B3-6B78E8388D84}"/>
    <cellStyle name="Normal 3" xfId="6" xr:uid="{4ECD8BAF-EC84-4028-8767-F922D57EB3C2}"/>
    <cellStyle name="Normal 7 2" xfId="7" xr:uid="{FA6368F1-B474-43E8-BCC6-30C2A92846FA}"/>
    <cellStyle name="Percent 2" xfId="9" xr:uid="{251FF0FE-CD9D-46F8-8BFA-3EAEC7FA8626}"/>
    <cellStyle name="Percent 3 2" xfId="5" xr:uid="{D0FC541F-EBDC-4371-9320-1E171D8CB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523874</xdr:colOff>
      <xdr:row>0</xdr:row>
      <xdr:rowOff>66675</xdr:rowOff>
    </xdr:from>
    <xdr:to>
      <xdr:col>16</xdr:col>
      <xdr:colOff>504824</xdr:colOff>
      <xdr:row>16</xdr:row>
      <xdr:rowOff>95250</xdr:rowOff>
    </xdr:to>
    <xdr:sp macro="" textlink="">
      <xdr:nvSpPr>
        <xdr:cNvPr id="2" name="TextBox 1">
          <a:extLst>
            <a:ext uri="{FF2B5EF4-FFF2-40B4-BE49-F238E27FC236}">
              <a16:creationId xmlns:a16="http://schemas.microsoft.com/office/drawing/2014/main" id="{FA03CE43-812D-463F-882E-B787D045AA15}"/>
            </a:ext>
          </a:extLst>
        </xdr:cNvPr>
        <xdr:cNvSpPr txBox="1"/>
      </xdr:nvSpPr>
      <xdr:spPr>
        <a:xfrm>
          <a:off x="3571874" y="66675"/>
          <a:ext cx="6686550" cy="2954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a:p>
          <a:r>
            <a:rPr lang="en-US"/>
            <a:t>The primary objective of this question is to calculate the total return of each bond on a bond-equivalent basis. This can be achieved either by using formulas or simulating cash flows—both approaches will be demonstrated here.</a:t>
          </a:r>
        </a:p>
        <a:p>
          <a:endParaRPr lang="en-US"/>
        </a:p>
        <a:p>
          <a:r>
            <a:rPr lang="en-US"/>
            <a:t>The key assumption is that the bond will be sold after 2 years. The bond's value at that point (t=2) will consist of:</a:t>
          </a:r>
        </a:p>
        <a:p>
          <a:pPr marL="171450" indent="-171450">
            <a:buFont typeface="Arial" panose="020B0604020202020204" pitchFamily="34" charset="0"/>
            <a:buChar char="•"/>
          </a:pPr>
          <a:r>
            <a:rPr lang="en-US" b="1"/>
            <a:t>Coupon payments and interest-on-interest</a:t>
          </a:r>
          <a:r>
            <a:rPr lang="en-US"/>
            <a:t>: This includes the coupon payments received in the first 2 years and the reinvested interest, calculated using the 5% reinvestment rate.</a:t>
          </a:r>
        </a:p>
        <a:p>
          <a:pPr marL="171450" indent="-171450">
            <a:buFont typeface="Arial" panose="020B0604020202020204" pitchFamily="34" charset="0"/>
            <a:buChar char="•"/>
          </a:pPr>
          <a:r>
            <a:rPr lang="en-US" b="1"/>
            <a:t>Present value (PV) at t=2 of future cash flows</a:t>
          </a:r>
          <a:r>
            <a:rPr lang="en-US"/>
            <a:t>: This includes the PV of all remaining coupon payments and the maturity value, discounted using the projected annual yield on comparable bonds.</a:t>
          </a:r>
        </a:p>
        <a:p>
          <a:endParaRPr lang="en-US"/>
        </a:p>
        <a:p>
          <a:r>
            <a:rPr lang="en-US"/>
            <a:t>Once the value of each bond at t=2 is determined, the total return is calculated using the bond's initial purchase price. This total return is expressed as a semi-annual return over the 2 years, which is then multiplied by 2 to arrive at the bond-equivalent yield (BEY).</a:t>
          </a:r>
        </a:p>
        <a:p>
          <a:endParaRPr lang="en-US"/>
        </a:p>
        <a:p>
          <a:r>
            <a:rPr lang="en-US"/>
            <a:t>Sources: </a:t>
          </a:r>
          <a:r>
            <a:rPr lang="en-US" sz="1100" i="1">
              <a:solidFill>
                <a:schemeClr val="dk1"/>
              </a:solidFill>
              <a:effectLst/>
              <a:latin typeface="+mn-lt"/>
              <a:ea typeface="+mn-ea"/>
              <a:cs typeface="+mn-cs"/>
            </a:rPr>
            <a:t>Handbook of Fixed Income Securities, Fabozzi, Frank J., 9th Edition, 2021 - Ch. 4: Bond Pricing, Yield Measures and Total Return (pp. 76-94)</a:t>
          </a:r>
          <a:endParaRPr lang="en-US"/>
        </a:p>
        <a:p>
          <a:endParaRPr lang="en-US" sz="1100" kern="1200" baseline="0"/>
        </a:p>
        <a:p>
          <a:r>
            <a:rPr lang="en-US" sz="1100" kern="1200" baseline="0"/>
            <a:t>Commentary: </a:t>
          </a:r>
          <a:r>
            <a:rPr lang="en-US" sz="1100" i="1" kern="1200" baseline="0"/>
            <a:t>Candidates struggled with part (i)</a:t>
          </a:r>
          <a:r>
            <a:rPr lang="en-US" sz="1100" i="0" kern="1200" baseline="0"/>
            <a:t>.  </a:t>
          </a:r>
          <a:r>
            <a:rPr lang="en-US" sz="1100" i="1" kern="1200" baseline="0"/>
            <a:t>The most common mistakes included valuing the bonds at time of issue or maturity and using these values to calculate an annual return over the entire term to maturity.  For part (ii), most candidates were able to recommend the correct bond based on their answers in part (i).  Candidates also performed well on part (iii) and were able to adequately critique the option by explaining the multiple risks associated with higher YTM bonds.  </a:t>
          </a:r>
          <a:endParaRPr lang="en-US" sz="1100" kern="1200"/>
        </a:p>
      </xdr:txBody>
    </xdr:sp>
    <xdr:clientData/>
  </xdr:twoCellAnchor>
  <xdr:twoCellAnchor>
    <xdr:from>
      <xdr:col>19</xdr:col>
      <xdr:colOff>323850</xdr:colOff>
      <xdr:row>41</xdr:row>
      <xdr:rowOff>57150</xdr:rowOff>
    </xdr:from>
    <xdr:to>
      <xdr:col>27</xdr:col>
      <xdr:colOff>304800</xdr:colOff>
      <xdr:row>44</xdr:row>
      <xdr:rowOff>104775</xdr:rowOff>
    </xdr:to>
    <xdr:sp macro="" textlink="">
      <xdr:nvSpPr>
        <xdr:cNvPr id="3" name="TextBox 2">
          <a:extLst>
            <a:ext uri="{FF2B5EF4-FFF2-40B4-BE49-F238E27FC236}">
              <a16:creationId xmlns:a16="http://schemas.microsoft.com/office/drawing/2014/main" id="{FFC4BAB7-B15C-48AA-9C31-CABC54DF5D51}"/>
            </a:ext>
          </a:extLst>
        </xdr:cNvPr>
        <xdr:cNvSpPr txBox="1"/>
      </xdr:nvSpPr>
      <xdr:spPr>
        <a:xfrm>
          <a:off x="11906250" y="7555230"/>
          <a:ext cx="485775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Your</a:t>
          </a:r>
          <a:r>
            <a:rPr lang="en-US" sz="1100" kern="1200" baseline="0"/>
            <a:t> company wants to sell the bond at t=2.  At that point, the value of the bond is the accumulation of coupons and interest (at reinvestment rate) plus the current price of the bond (PV of future coupons and maturity at projected yield).</a:t>
          </a:r>
        </a:p>
        <a:p>
          <a:endParaRPr lang="en-US" sz="1100" kern="1200"/>
        </a:p>
      </xdr:txBody>
    </xdr:sp>
    <xdr:clientData/>
  </xdr:twoCellAnchor>
  <xdr:twoCellAnchor>
    <xdr:from>
      <xdr:col>18</xdr:col>
      <xdr:colOff>200025</xdr:colOff>
      <xdr:row>43</xdr:row>
      <xdr:rowOff>0</xdr:rowOff>
    </xdr:from>
    <xdr:to>
      <xdr:col>19</xdr:col>
      <xdr:colOff>314325</xdr:colOff>
      <xdr:row>43</xdr:row>
      <xdr:rowOff>4763</xdr:rowOff>
    </xdr:to>
    <xdr:cxnSp macro="">
      <xdr:nvCxnSpPr>
        <xdr:cNvPr id="4" name="Straight Arrow Connector 3">
          <a:extLst>
            <a:ext uri="{FF2B5EF4-FFF2-40B4-BE49-F238E27FC236}">
              <a16:creationId xmlns:a16="http://schemas.microsoft.com/office/drawing/2014/main" id="{AFF5C244-0C0B-4017-9ACC-F248C4808AAD}"/>
            </a:ext>
          </a:extLst>
        </xdr:cNvPr>
        <xdr:cNvCxnSpPr/>
      </xdr:nvCxnSpPr>
      <xdr:spPr>
        <a:xfrm flipH="1" flipV="1">
          <a:off x="11172825" y="7863840"/>
          <a:ext cx="723900" cy="4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419100</xdr:colOff>
      <xdr:row>0</xdr:row>
      <xdr:rowOff>152399</xdr:rowOff>
    </xdr:from>
    <xdr:to>
      <xdr:col>18</xdr:col>
      <xdr:colOff>66675</xdr:colOff>
      <xdr:row>9</xdr:row>
      <xdr:rowOff>190500</xdr:rowOff>
    </xdr:to>
    <xdr:sp macro="" textlink="">
      <xdr:nvSpPr>
        <xdr:cNvPr id="2" name="TextBox 1">
          <a:extLst>
            <a:ext uri="{FF2B5EF4-FFF2-40B4-BE49-F238E27FC236}">
              <a16:creationId xmlns:a16="http://schemas.microsoft.com/office/drawing/2014/main" id="{EFD5A78F-2039-4C43-901B-3DD891BED7CD}"/>
            </a:ext>
          </a:extLst>
        </xdr:cNvPr>
        <xdr:cNvSpPr txBox="1"/>
      </xdr:nvSpPr>
      <xdr:spPr>
        <a:xfrm>
          <a:off x="4076700" y="152399"/>
          <a:ext cx="6962775" cy="1676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The primary objective of this question is to calculate the modified duration and convexity of the bond. A key assumption is that when the bond’s par value equals its market value, the yield is equal to the coupon rate.</a:t>
          </a:r>
          <a:r>
            <a:rPr lang="en-US" baseline="0"/>
            <a:t>  </a:t>
          </a:r>
          <a:r>
            <a:rPr lang="en-US"/>
            <a:t>For part (iii), candidates are required to use both duration and convexity to calculate the change in the bond's market value. It is important to note that when interest rates rise, the market value of bonds will always decrease.</a:t>
          </a:r>
        </a:p>
        <a:p>
          <a:endParaRPr lang="en-US"/>
        </a:p>
        <a:p>
          <a:r>
            <a:rPr lang="en-US"/>
            <a:t>Sources: </a:t>
          </a:r>
          <a:r>
            <a:rPr lang="en-US" sz="1100" i="1">
              <a:solidFill>
                <a:schemeClr val="dk1"/>
              </a:solidFill>
              <a:effectLst/>
              <a:latin typeface="+mn-lt"/>
              <a:ea typeface="+mn-ea"/>
              <a:cs typeface="+mn-cs"/>
            </a:rPr>
            <a:t>LAM-154-23: Ch. 7 (sections 7.2-7.5 &amp; 7A) of Derivatives Markets, McDonald, 3rd Edition</a:t>
          </a:r>
          <a:endParaRPr lang="en-US"/>
        </a:p>
        <a:p>
          <a:endParaRPr lang="en-US" sz="1100" kern="1200" baseline="0"/>
        </a:p>
        <a:p>
          <a:r>
            <a:rPr lang="en-US" sz="1100" kern="1200" baseline="0"/>
            <a:t>Commentary: </a:t>
          </a:r>
          <a:r>
            <a:rPr lang="en-US" i="1"/>
            <a:t>Candidates generally performed well when calculating the bond’s duration. Common mistakes included using an incorrect interest rate or assuming semi-annual coupon payments. Partial credit was awarded in these cases.  For part (ii), many candidates struggled with deriving the correct formula for convexity, leading to a higher frequency of errors.  Candidates performed well in part (iii), where most candidates correctly applied the calculated duration and convexity from parts (i) and (ii).</a:t>
          </a:r>
          <a:endParaRPr lang="en-US" sz="1100" i="1" kern="12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fc-my.sharepoint.com/personal/shmiche_mfcgd_com/Documents/Desktop/ILALAM%20grading%20fall/ILA%20LAM%20Fall24%20Rubric.xlsx" TargetMode="External"/><Relationship Id="rId1" Type="http://schemas.openxmlformats.org/officeDocument/2006/relationships/externalLinkPath" Target="https://mfc-my.sharepoint.com/personal/shmiche_mfcgd_com/Documents/Desktop/ILALAM%20grading%20fall/ILA%20LAM%20Fall24%20Rubri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o61\Documents\Personal\Grading\Fall%202024\Rubric\ILA%20LAM%20Fall24%20Rubric.xlsx" TargetMode="External"/><Relationship Id="rId1" Type="http://schemas.openxmlformats.org/officeDocument/2006/relationships/externalLinkPath" Target="file:///C:\Users\to61\Documents\Personal\Grading\Fall%202024\Rubric\ILA%20LAM%20Fall24%20Rubr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yllabus list"/>
      <sheetName val="LO"/>
      <sheetName val="Q1"/>
      <sheetName val="Q1 Calc"/>
      <sheetName val="Q2"/>
      <sheetName val="Q3"/>
      <sheetName val="Q3 Calc"/>
      <sheetName val="Q4"/>
      <sheetName val="Q4 Calc (a)(i)"/>
      <sheetName val="Q4 Calc (a)(ii)"/>
      <sheetName val="Q4 Calc (b)(i)"/>
      <sheetName val="Q5"/>
      <sheetName val="Q6"/>
      <sheetName val="Q6 Calc A"/>
      <sheetName val="Q6 Calc C"/>
    </sheetNames>
    <sheetDataSet>
      <sheetData sheetId="0">
        <row r="2">
          <cell r="E2">
            <v>2024</v>
          </cell>
        </row>
      </sheetData>
      <sheetData sheetId="1">
        <row r="4">
          <cell r="B4" t="str">
            <v>Handbook of Fixed Income Securities, Fabozzi, Frank J., 9th Edition, 2021 - Ch. 49: Introduction to Multifactor Risk Models in Fixed Income and Their Applications</v>
          </cell>
        </row>
        <row r="5">
          <cell r="B5" t="str">
            <v>LAM-135-19: Stochastic Modeling, Theory and Reality from and Actuarial Perspective, sections I.A, I.B-I.B.3.a, I.B.4 &amp; I.D-I.D.3</v>
          </cell>
        </row>
        <row r="6">
          <cell r="B6" t="str">
            <v xml:space="preserve">LAM-137-19: Multi-state Transition Models with Actuarial Application, sections 1 &amp; 2 </v>
          </cell>
        </row>
        <row r="7">
          <cell r="B7" t="str">
            <v>LAM-138-19: A Practitioner's Guide to Generalized Linear Models, 1.1-1.108, 1.118-1.130 &amp; 3.1-3.14</v>
          </cell>
        </row>
        <row r="8">
          <cell r="B8" t="str">
            <v>LAM-141-19: Case Study: LTC Insurance First Principles Modeling</v>
          </cell>
        </row>
        <row r="9">
          <cell r="B9" t="str">
            <v>LAM-142-19: Case Study: LTC Insurance First Principles Modeling: Mortality Assumptions</v>
          </cell>
        </row>
        <row r="10">
          <cell r="B10" t="str">
            <v>LAM-143-19: Case Study: LTC Insurance First Principles Modeling: Lapse Assumptions</v>
          </cell>
        </row>
        <row r="11">
          <cell r="B11" t="str">
            <v>Stochastic Modeling is on the Rise, Product Matters, Nov 2016</v>
          </cell>
        </row>
        <row r="12">
          <cell r="B12" t="str">
            <v>Stochastic Analysis of Long-Term Multiple-Decrement Contracts, Actuarial Practice Forum, Jul 2008 (excluding Attachments)</v>
          </cell>
        </row>
        <row r="13">
          <cell r="B13" t="str">
            <v>Beware of Stochastic Model Risk!, Risk &amp; Rewards, Aug 2019</v>
          </cell>
        </row>
        <row r="14">
          <cell r="B14" t="str">
            <v>LAM-132-19: Cluster Analysis: A Spatial Approach to Actuarial Modeling</v>
          </cell>
        </row>
        <row r="15">
          <cell r="B15" t="str">
            <v>LAM-135-19: Stochastic Modeling, Theory and Reality from and Actuarial Perspective, section II.B.I</v>
          </cell>
        </row>
        <row r="16">
          <cell r="B16" t="str">
            <v>LAM-149-21: Application of Professional Judgement by Actuaries, 2020</v>
          </cell>
        </row>
        <row r="17">
          <cell r="B17" t="str">
            <v>LAM-157-F23: Reflection of Inflation, Interest Rates, Stock Market Volatility, and Potential Recession on Life Insurance Business, American Academy of Actuaries, 2022</v>
          </cell>
        </row>
        <row r="18">
          <cell r="B18" t="str">
            <v>Standards of Practice, Canadian Institute of Actuaries Actuarial Standards Board, 1440-1490</v>
          </cell>
        </row>
        <row r="19">
          <cell r="B19" t="str">
            <v>ASOP 56: Modeling, sections 3 &amp; 4</v>
          </cell>
        </row>
        <row r="20">
          <cell r="B20" t="str">
            <v>Model Efficiency Study Results, Nov 2011</v>
          </cell>
        </row>
        <row r="21">
          <cell r="B21" t="str">
            <v>CIA Educational Note: Use of Models, Jan 2017</v>
          </cell>
        </row>
        <row r="22">
          <cell r="B22" t="str">
            <v>Data Visualization for Model Controls, Financial Reporter, Mar 2017</v>
          </cell>
        </row>
        <row r="23">
          <cell r="B23" t="str">
            <v>Actuarial Modeling Systems: How Open We WANT Them to be vs. How Closed We NEED Them to be, The Modeling Platform, Nov 2017</v>
          </cell>
        </row>
        <row r="24">
          <cell r="B24" t="str">
            <v>Model Risk Management, American Academy of Actuaries, May 2019</v>
          </cell>
        </row>
        <row r="25">
          <cell r="B25" t="str">
            <v>The Importance of Centralization of Actuarial Modeling Functions, Part 1: Focus on Modularization and Reuse, The Modeling Platform, Nov 2019</v>
          </cell>
        </row>
        <row r="26">
          <cell r="B26" t="str">
            <v>The Importance of Centralization of Actuarial Modeling Functions, Part 2: DevOps – The Path to Actuarial Modernization and Consolidation, The Modeling Platform, Apr 2020</v>
          </cell>
        </row>
        <row r="27">
          <cell r="B27" t="str">
            <v>Assumption Governance, The Actuary, Jan 2021</v>
          </cell>
        </row>
        <row r="28">
          <cell r="B28" t="str">
            <v>“Raising the Bar” on Model Validation, SOA, Aug 2020</v>
          </cell>
        </row>
        <row r="29">
          <cell r="B29" t="str">
            <v>Reviewing, Validating and Auditing Actuarial Models, Valuation Actuary Symposium, Aug 2015</v>
          </cell>
        </row>
        <row r="30">
          <cell r="B30" t="str">
            <v>LAM-117-14: Key Rate Durations: Measures of Interest Rate Risk</v>
          </cell>
        </row>
        <row r="31">
          <cell r="B31" t="str">
            <v xml:space="preserve">LAM-118-14: Revisiting the Role of Insurance Company ALM w/in a RM Framework </v>
          </cell>
        </row>
        <row r="32">
          <cell r="B32" t="str">
            <v>LAM-130-15: Diversification: Consideration on Modelling Aspects &amp; Related Fungibility and Transferability, CRO, Oct 2013, pp. 1-18</v>
          </cell>
        </row>
        <row r="33">
          <cell r="B33" t="str">
            <v xml:space="preserve">LAM-131-19: Ch. 22 of Life Insurance Accounting, Asset/Liability Management </v>
          </cell>
        </row>
        <row r="34">
          <cell r="B34" t="str">
            <v>LAM-140-19: Asset Adequacy Analysis Practice Note, 2017, questions: 3, 5, 10-16, 18-20, 27, 29-31, 39, 42-60, 65-68, 71-82, 85 &amp; 89</v>
          </cell>
        </row>
        <row r="35">
          <cell r="B35" t="str">
            <v>LAM-146-19: Ch. 16 of ALM Management of Financial Institutions, Tilman, 2003</v>
          </cell>
        </row>
        <row r="36">
          <cell r="B36" t="str">
            <v>LAM-147-19: Ch 2 of ALM Management of Financial Institutions, Tilman, 2003</v>
          </cell>
        </row>
        <row r="37">
          <cell r="B37" t="str">
            <v>Investment Guarantees, Hardy, Mary, 2003 - Ch. 1: Investment Guarantees</v>
          </cell>
        </row>
        <row r="38">
          <cell r="B38" t="str">
            <v>Investment Guarantees, Hardy, Mary, 2003 - Ch. 2: Modeling Long-Term Stock Returns</v>
          </cell>
        </row>
        <row r="39">
          <cell r="B39" t="str">
            <v xml:space="preserve">Investment Guarantees, Hardy, Mary, 2003 - Ch. 6: Modeling the Guarantee Liability </v>
          </cell>
        </row>
        <row r="40">
          <cell r="B40" t="str">
            <v>Investment Guarantees, Hardy, Mary, 2003 - Ch. 7: A Review of Option Pricing Theory (pp. 115-125)</v>
          </cell>
        </row>
        <row r="41">
          <cell r="B41" t="str">
            <v>Investment Guarantees, Hardy, Mary, 2003 - Ch. 8: Dynamic Hedging for Separate Account Guarantees (pp. 133-143)</v>
          </cell>
        </row>
        <row r="42">
          <cell r="B42" t="str">
            <v>Investment Guarantees, Hardy, Mary, 2003 - Ch. 12: Guaranteed Annuity Options</v>
          </cell>
        </row>
        <row r="43">
          <cell r="B43" t="str">
            <v>Investment Guarantees, Hardy, Mary, 2003 - Ch. 13: Equity-Indexed Annuities</v>
          </cell>
        </row>
        <row r="44">
          <cell r="B44" t="str">
            <v>LAM-139-19: Simulation of a Guaranteed Minimum Annuity Benefit, Freedman, 2019; Excel Model - Stochastic Simulation of a GMAB Option (Accompanies Simulation of a GMAB)</v>
          </cell>
        </row>
        <row r="45">
          <cell r="B45" t="str">
            <v>LAM-148-19: Introduction to Economic Scenario Generators - Selecting and Specifying ESGs</v>
          </cell>
        </row>
        <row r="46">
          <cell r="B46" t="str">
            <v>Economic Scenario Generators: A Practical Guide, 2016, Ch. 1, 2, 4.1, 5, 6, 9, 10, 11.1 &amp; 11.3</v>
          </cell>
        </row>
        <row r="47">
          <cell r="B47" t="str">
            <v>Managing Investment Portfolios, Maginn, John L. and Tuttle, Donald L., 3rd Edition, 2007 - Ch. 3: Managing Institutional Investor Portfolios (section 4.1)</v>
          </cell>
        </row>
        <row r="48">
          <cell r="B48" t="str">
            <v>Managing Investment Portfolios, Maginn, John L. and Tuttle, Donald L., 3rd Edition, 2007 - Ch. 5: Asset Allocation (sections 2-4)</v>
          </cell>
        </row>
        <row r="49">
          <cell r="B49" t="str">
            <v>Managing Investment Portfolios, Maginn, John L. and Tuttle, Donald L., 3rd Edition, 2007 - Ch. 6: Fixed-Income Portfolio Management (sections 1-5)</v>
          </cell>
        </row>
        <row r="50">
          <cell r="B50" t="str">
            <v>Managing Investment Portfolios, Maginn, John L. and Tuttle, Donald L., 3rd Edition, 2007 - Ch. 8: Alternative Investments Portfolio Management (section 3)</v>
          </cell>
        </row>
        <row r="51">
          <cell r="B51" t="str">
            <v>Managing Investment Portfolios, Maginn, John L. and Tuttle, Donald L., 3rd Edition, 2007 - Ch.12: Evaluating Portfolio Performance (section 4)</v>
          </cell>
        </row>
        <row r="52">
          <cell r="B52" t="str">
            <v>Handbook of Fixed Income Securities, Fabozzi, Frank J., 9th Edition, 2021 - Ch. 4: Bond Pricing, Yield Measures and Total Return (pp. 76-94)</v>
          </cell>
        </row>
        <row r="53">
          <cell r="B53" t="str">
            <v>Handbook of Fixed Income Securities, Fabozzi, Frank J., 9th Edition, 2021 - Ch. 7: U.S. Treasury Securities (pp. 171-184)</v>
          </cell>
        </row>
        <row r="54">
          <cell r="B54" t="str">
            <v>Handbook of Fixed Income Securities, Fabozzi, Frank J., 9th Edition, 2021 - Ch. 8: Agency Debt Securities (pp. 185-196)</v>
          </cell>
        </row>
        <row r="55">
          <cell r="B55" t="str">
            <v>Handbook of Fixed Income Securities, Fabozzi, Frank J., 9th Edition, 2021 - Ch. 9: Municipal Bonds (pp. 201-206 &amp; 209-221)</v>
          </cell>
        </row>
        <row r="56">
          <cell r="B56" t="str">
            <v>Handbook of Fixed Income Securities, Fabozzi, Frank J., 9th Edition, 2021 - Ch. 10: Corporate Bonds (pp. 235-262, excluding exhibits 10-1 &amp; 10-2)</v>
          </cell>
        </row>
        <row r="57">
          <cell r="B57" t="str">
            <v>Handbook of Fixed Income Securities, Fabozzi, Frank J., 9th Edition, 2021 - Ch. 13: Commercial Paper (pp. 301-310)</v>
          </cell>
        </row>
        <row r="58">
          <cell r="B58" t="str">
            <v>Handbook of Fixed Income Securities, Fabozzi, Frank J., 9th Edition, 2021 - Ch. 14: Floating-Rate Securities</v>
          </cell>
        </row>
        <row r="59">
          <cell r="B59" t="str">
            <v>Handbook of Fixed Income Securities, Fabozzi, Frank J., 9th Edition, 2021 - Ch. 21: An Overview of Mortgages and the Mortgage Market</v>
          </cell>
        </row>
        <row r="60">
          <cell r="B60" t="str">
            <v>Handbook of Fixed Income Securities, Fabozzi, Frank J., 9th Edition, 2021 - Ch. 22: Agency Mortgage Passthrough Securities</v>
          </cell>
        </row>
        <row r="61">
          <cell r="B61" t="str">
            <v>Handbook of Fixed Income Securities, Fabozzi, Frank J., 9th Edition, 2021 - Ch. 23: Agency Collateralized Mortgage Obligations (pp. 499-508 &amp; 520-528)</v>
          </cell>
        </row>
        <row r="62">
          <cell r="B62" t="str">
            <v>Handbook of Fixed Income Securities, Fabozzi, Frank J., 9th Edition, 2021 - Ch. 30: Collateralized Loan Obligations</v>
          </cell>
        </row>
        <row r="63">
          <cell r="B63" t="str">
            <v>Handbook of Fixed Income Securities, Fabozzi, Frank J., 9th Edition, 2021 - Ch. 60: Financial Positions in the Bond Market (pp. 1485-1488)</v>
          </cell>
        </row>
        <row r="64">
          <cell r="B64" t="str">
            <v>Handbook of Fixed Income Securities, Fabozzi, Frank J., 9th Edition, 2021 - Ch. 64: Interest-Rate Swaps (pp. 1575-1580 &amp; 1588-1589)</v>
          </cell>
        </row>
        <row r="65">
          <cell r="B65" t="str">
            <v>Handbook of Fixed Income Securities, Fabozzi, Frank J., 9th Edition, 2021 - Ch. 68: Credit Derivatives (pp. 1657-1671)</v>
          </cell>
        </row>
        <row r="66">
          <cell r="B66" t="str">
            <v>LAM-151-23: High-Yield Bond Market Primer</v>
          </cell>
        </row>
        <row r="67">
          <cell r="B67" t="str">
            <v>LAM-153-23: Managing your Advisor: A Guide to Getting the Most Out of the Portfolio Management Process</v>
          </cell>
        </row>
        <row r="68">
          <cell r="B68" t="str">
            <v xml:space="preserve">LAM-154-23: Ch. 7 (sections 7.2-7.5 &amp; 7A) of Derivatives Markets, McDonald, 3rd Edition </v>
          </cell>
        </row>
        <row r="69">
          <cell r="B69" t="str">
            <v>LAM-155-23: Secured Overnight Financing Rate (SOFR)</v>
          </cell>
        </row>
        <row r="70">
          <cell r="B70" t="str">
            <v>LAM-158-F23:  Managing Liquidity Risk, Industry Practices and Recommendations for CROs, CRO Forum, 2019</v>
          </cell>
        </row>
        <row r="71">
          <cell r="B71" t="str">
            <v>LAM-XXX-24: Profiles of Alternative Assets  in Life Insurance Landscape</v>
          </cell>
        </row>
        <row r="73">
          <cell r="A73" t="str">
            <v>LO#1</v>
          </cell>
          <cell r="B73" t="str">
            <v>Retrieval</v>
          </cell>
        </row>
        <row r="74">
          <cell r="A74" t="str">
            <v>LO#2</v>
          </cell>
          <cell r="B74" t="str">
            <v>Comprehension</v>
          </cell>
        </row>
        <row r="75">
          <cell r="A75" t="str">
            <v>LO#3</v>
          </cell>
          <cell r="B75" t="str">
            <v>Analysis</v>
          </cell>
        </row>
        <row r="76">
          <cell r="A76" t="str">
            <v>LO#4</v>
          </cell>
          <cell r="B76" t="str">
            <v>Knowledge Utilization</v>
          </cell>
        </row>
        <row r="77">
          <cell r="A77" t="str">
            <v>LO#5</v>
          </cell>
        </row>
      </sheetData>
      <sheetData sheetId="2"/>
      <sheetData sheetId="3">
        <row r="9">
          <cell r="C9" t="str">
            <v>LO#1-9</v>
          </cell>
        </row>
        <row r="10">
          <cell r="C10" t="e">
            <v>#N/A</v>
          </cell>
        </row>
        <row r="11">
          <cell r="C11" t="e">
            <v>#N/A</v>
          </cell>
        </row>
        <row r="12">
          <cell r="C12" t="e">
            <v>#N/A</v>
          </cell>
        </row>
        <row r="13">
          <cell r="C13" t="e">
            <v>#N/A</v>
          </cell>
        </row>
        <row r="14">
          <cell r="C14" t="e">
            <v>#N/A</v>
          </cell>
        </row>
        <row r="15">
          <cell r="C15" t="e">
            <v>#N/A</v>
          </cell>
        </row>
        <row r="16">
          <cell r="C16" t="e">
            <v>#N/A</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yllabus list"/>
      <sheetName val="LO"/>
      <sheetName val="Q1"/>
      <sheetName val="Q1 Calc"/>
      <sheetName val="Q2"/>
      <sheetName val="Q3"/>
      <sheetName val="Q3 Calc"/>
      <sheetName val="Q4"/>
      <sheetName val="Q4 Calc (a)(i)"/>
      <sheetName val="Q4 Calc (a)(ii)"/>
      <sheetName val="Q4 Calc (b)(i)"/>
      <sheetName val="Q5"/>
      <sheetName val="Q6"/>
      <sheetName val="Q6 Calc A"/>
      <sheetName val="Q6 Calc C"/>
    </sheetNames>
    <sheetDataSet>
      <sheetData sheetId="0">
        <row r="2">
          <cell r="E2">
            <v>2024</v>
          </cell>
        </row>
      </sheetData>
      <sheetData sheetId="1">
        <row r="4">
          <cell r="B4" t="str">
            <v>Handbook of Fixed Income Securities, Fabozzi, Frank J., 9th Edition, 2021 - Ch. 49: Introduction to Multifactor Risk Models in Fixed Income and Their Applications</v>
          </cell>
        </row>
        <row r="5">
          <cell r="B5" t="str">
            <v>LAM-135-19: Stochastic Modeling, Theory and Reality from and Actuarial Perspective, sections I.A, I.B-I.B.3.a, I.B.4 &amp; I.D-I.D.3</v>
          </cell>
        </row>
        <row r="6">
          <cell r="B6" t="str">
            <v xml:space="preserve">LAM-137-19: Multi-state Transition Models with Actuarial Application, sections 1 &amp; 2 </v>
          </cell>
        </row>
        <row r="7">
          <cell r="B7" t="str">
            <v>LAM-138-19: A Practitioner's Guide to Generalized Linear Models, 1.1-1.108, 1.118-1.130 &amp; 3.1-3.14</v>
          </cell>
        </row>
        <row r="8">
          <cell r="B8" t="str">
            <v>LAM-141-19: Case Study: LTC Insurance First Principles Modeling</v>
          </cell>
        </row>
        <row r="9">
          <cell r="B9" t="str">
            <v>LAM-142-19: Case Study: LTC Insurance First Principles Modeling: Mortality Assumptions</v>
          </cell>
        </row>
        <row r="10">
          <cell r="B10" t="str">
            <v>LAM-143-19: Case Study: LTC Insurance First Principles Modeling: Lapse Assumptions</v>
          </cell>
        </row>
        <row r="11">
          <cell r="B11" t="str">
            <v>Stochastic Modeling is on the Rise, Product Matters, Nov 2016</v>
          </cell>
        </row>
        <row r="12">
          <cell r="B12" t="str">
            <v>Stochastic Analysis of Long-Term Multiple-Decrement Contracts, Actuarial Practice Forum, Jul 2008 (excluding Attachments)</v>
          </cell>
        </row>
        <row r="13">
          <cell r="B13" t="str">
            <v>Beware of Stochastic Model Risk!, Risk &amp; Rewards, Aug 2019</v>
          </cell>
        </row>
        <row r="14">
          <cell r="B14" t="str">
            <v>LAM-132-19: Cluster Analysis: A Spatial Approach to Actuarial Modeling</v>
          </cell>
        </row>
        <row r="15">
          <cell r="B15" t="str">
            <v>LAM-135-19: Stochastic Modeling, Theory and Reality from and Actuarial Perspective, section II.B.I</v>
          </cell>
        </row>
        <row r="16">
          <cell r="B16" t="str">
            <v>LAM-149-21: Application of Professional Judgement by Actuaries, 2020</v>
          </cell>
        </row>
        <row r="17">
          <cell r="B17" t="str">
            <v>LAM-157-F23: Reflection of Inflation, Interest Rates, Stock Market Volatility, and Potential Recession on Life Insurance Business, American Academy of Actuaries, 2022</v>
          </cell>
        </row>
        <row r="18">
          <cell r="B18" t="str">
            <v>Standards of Practice, Canadian Institute of Actuaries Actuarial Standards Board, 1440-1490</v>
          </cell>
        </row>
        <row r="19">
          <cell r="B19" t="str">
            <v>ASOP 56: Modeling, sections 3 &amp; 4</v>
          </cell>
        </row>
        <row r="20">
          <cell r="B20" t="str">
            <v>Model Efficiency Study Results, Nov 2011</v>
          </cell>
        </row>
        <row r="21">
          <cell r="B21" t="str">
            <v>CIA Educational Note: Use of Models, Jan 2017</v>
          </cell>
        </row>
        <row r="22">
          <cell r="B22" t="str">
            <v>Data Visualization for Model Controls, Financial Reporter, Mar 2017</v>
          </cell>
        </row>
        <row r="23">
          <cell r="B23" t="str">
            <v>Actuarial Modeling Systems: How Open We WANT Them to be vs. How Closed We NEED Them to be, The Modeling Platform, Nov 2017</v>
          </cell>
        </row>
        <row r="24">
          <cell r="B24" t="str">
            <v>Model Risk Management, American Academy of Actuaries, May 2019</v>
          </cell>
        </row>
        <row r="25">
          <cell r="B25" t="str">
            <v>The Importance of Centralization of Actuarial Modeling Functions, Part 1: Focus on Modularization and Reuse, The Modeling Platform, Nov 2019</v>
          </cell>
        </row>
        <row r="26">
          <cell r="B26" t="str">
            <v>The Importance of Centralization of Actuarial Modeling Functions, Part 2: DevOps – The Path to Actuarial Modernization and Consolidation, The Modeling Platform, Apr 2020</v>
          </cell>
        </row>
        <row r="27">
          <cell r="B27" t="str">
            <v>Assumption Governance, The Actuary, Jan 2021</v>
          </cell>
        </row>
        <row r="28">
          <cell r="B28" t="str">
            <v>“Raising the Bar” on Model Validation, SOA, Aug 2020</v>
          </cell>
        </row>
        <row r="29">
          <cell r="B29" t="str">
            <v>Reviewing, Validating and Auditing Actuarial Models, Valuation Actuary Symposium, Aug 2015</v>
          </cell>
        </row>
        <row r="30">
          <cell r="B30" t="str">
            <v>LAM-117-14: Key Rate Durations: Measures of Interest Rate Risk</v>
          </cell>
        </row>
        <row r="31">
          <cell r="B31" t="str">
            <v xml:space="preserve">LAM-118-14: Revisiting the Role of Insurance Company ALM w/in a RM Framework </v>
          </cell>
        </row>
        <row r="32">
          <cell r="B32" t="str">
            <v>LAM-130-15: Diversification: Consideration on Modelling Aspects &amp; Related Fungibility and Transferability, CRO, Oct 2013, pp. 1-18</v>
          </cell>
        </row>
        <row r="33">
          <cell r="B33" t="str">
            <v xml:space="preserve">LAM-131-19: Ch. 22 of Life Insurance Accounting, Asset/Liability Management </v>
          </cell>
        </row>
        <row r="34">
          <cell r="B34" t="str">
            <v>LAM-140-19: Asset Adequacy Analysis Practice Note, 2017, questions: 3, 5, 10-16, 18-20, 27, 29-31, 39, 42-60, 65-68, 71-82, 85 &amp; 89</v>
          </cell>
        </row>
        <row r="35">
          <cell r="B35" t="str">
            <v>LAM-146-19: Ch. 16 of ALM Management of Financial Institutions, Tilman, 2003</v>
          </cell>
        </row>
        <row r="36">
          <cell r="B36" t="str">
            <v>LAM-147-19: Ch 2 of ALM Management of Financial Institutions, Tilman, 2003</v>
          </cell>
        </row>
        <row r="37">
          <cell r="B37" t="str">
            <v>Investment Guarantees, Hardy, Mary, 2003 - Ch. 1: Investment Guarantees</v>
          </cell>
        </row>
        <row r="38">
          <cell r="B38" t="str">
            <v>Investment Guarantees, Hardy, Mary, 2003 - Ch. 2: Modeling Long-Term Stock Returns</v>
          </cell>
        </row>
        <row r="39">
          <cell r="B39" t="str">
            <v xml:space="preserve">Investment Guarantees, Hardy, Mary, 2003 - Ch. 6: Modeling the Guarantee Liability </v>
          </cell>
        </row>
        <row r="40">
          <cell r="B40" t="str">
            <v>Investment Guarantees, Hardy, Mary, 2003 - Ch. 7: A Review of Option Pricing Theory (pp. 115-125)</v>
          </cell>
        </row>
        <row r="41">
          <cell r="B41" t="str">
            <v>Investment Guarantees, Hardy, Mary, 2003 - Ch. 8: Dynamic Hedging for Separate Account Guarantees (pp. 133-143)</v>
          </cell>
        </row>
        <row r="42">
          <cell r="B42" t="str">
            <v>Investment Guarantees, Hardy, Mary, 2003 - Ch. 12: Guaranteed Annuity Options</v>
          </cell>
        </row>
        <row r="43">
          <cell r="B43" t="str">
            <v>Investment Guarantees, Hardy, Mary, 2003 - Ch. 13: Equity-Indexed Annuities</v>
          </cell>
        </row>
        <row r="44">
          <cell r="B44" t="str">
            <v>LAM-139-19: Simulation of a Guaranteed Minimum Annuity Benefit, Freedman, 2019; Excel Model - Stochastic Simulation of a GMAB Option (Accompanies Simulation of a GMAB)</v>
          </cell>
        </row>
        <row r="45">
          <cell r="B45" t="str">
            <v>LAM-148-19: Introduction to Economic Scenario Generators - Selecting and Specifying ESGs</v>
          </cell>
        </row>
        <row r="46">
          <cell r="B46" t="str">
            <v>Economic Scenario Generators: A Practical Guide, 2016, Ch. 1, 2, 4.1, 5, 6, 9, 10, 11.1 &amp; 11.3</v>
          </cell>
        </row>
        <row r="47">
          <cell r="B47" t="str">
            <v>Managing Investment Portfolios, Maginn, John L. and Tuttle, Donald L., 3rd Edition, 2007 - Ch. 3: Managing Institutional Investor Portfolios (section 4.1)</v>
          </cell>
        </row>
        <row r="48">
          <cell r="B48" t="str">
            <v>Managing Investment Portfolios, Maginn, John L. and Tuttle, Donald L., 3rd Edition, 2007 - Ch. 5: Asset Allocation (sections 2-4)</v>
          </cell>
        </row>
        <row r="49">
          <cell r="B49" t="str">
            <v>Managing Investment Portfolios, Maginn, John L. and Tuttle, Donald L., 3rd Edition, 2007 - Ch. 6: Fixed-Income Portfolio Management (sections 1-5)</v>
          </cell>
        </row>
        <row r="50">
          <cell r="B50" t="str">
            <v>Managing Investment Portfolios, Maginn, John L. and Tuttle, Donald L., 3rd Edition, 2007 - Ch. 8: Alternative Investments Portfolio Management (section 3)</v>
          </cell>
        </row>
        <row r="51">
          <cell r="B51" t="str">
            <v>Managing Investment Portfolios, Maginn, John L. and Tuttle, Donald L., 3rd Edition, 2007 - Ch.12: Evaluating Portfolio Performance (section 4)</v>
          </cell>
        </row>
        <row r="52">
          <cell r="B52" t="str">
            <v>Handbook of Fixed Income Securities, Fabozzi, Frank J., 9th Edition, 2021 - Ch. 4: Bond Pricing, Yield Measures and Total Return (pp. 76-94)</v>
          </cell>
        </row>
        <row r="53">
          <cell r="B53" t="str">
            <v>Handbook of Fixed Income Securities, Fabozzi, Frank J., 9th Edition, 2021 - Ch. 7: U.S. Treasury Securities (pp. 171-184)</v>
          </cell>
        </row>
        <row r="54">
          <cell r="B54" t="str">
            <v>Handbook of Fixed Income Securities, Fabozzi, Frank J., 9th Edition, 2021 - Ch. 8: Agency Debt Securities (pp. 185-196)</v>
          </cell>
        </row>
        <row r="55">
          <cell r="B55" t="str">
            <v>Handbook of Fixed Income Securities, Fabozzi, Frank J., 9th Edition, 2021 - Ch. 9: Municipal Bonds (pp. 201-206 &amp; 209-221)</v>
          </cell>
        </row>
        <row r="56">
          <cell r="B56" t="str">
            <v>Handbook of Fixed Income Securities, Fabozzi, Frank J., 9th Edition, 2021 - Ch. 10: Corporate Bonds (pp. 235-262, excluding exhibits 10-1 &amp; 10-2)</v>
          </cell>
        </row>
        <row r="57">
          <cell r="B57" t="str">
            <v>Handbook of Fixed Income Securities, Fabozzi, Frank J., 9th Edition, 2021 - Ch. 13: Commercial Paper (pp. 301-310)</v>
          </cell>
        </row>
        <row r="58">
          <cell r="B58" t="str">
            <v>Handbook of Fixed Income Securities, Fabozzi, Frank J., 9th Edition, 2021 - Ch. 14: Floating-Rate Securities</v>
          </cell>
        </row>
        <row r="59">
          <cell r="B59" t="str">
            <v>Handbook of Fixed Income Securities, Fabozzi, Frank J., 9th Edition, 2021 - Ch. 21: An Overview of Mortgages and the Mortgage Market</v>
          </cell>
        </row>
        <row r="60">
          <cell r="B60" t="str">
            <v>Handbook of Fixed Income Securities, Fabozzi, Frank J., 9th Edition, 2021 - Ch. 22: Agency Mortgage Passthrough Securities</v>
          </cell>
        </row>
        <row r="61">
          <cell r="B61" t="str">
            <v>Handbook of Fixed Income Securities, Fabozzi, Frank J., 9th Edition, 2021 - Ch. 23: Agency Collateralized Mortgage Obligations (pp. 499-508 &amp; 520-528)</v>
          </cell>
        </row>
        <row r="62">
          <cell r="B62" t="str">
            <v>Handbook of Fixed Income Securities, Fabozzi, Frank J., 9th Edition, 2021 - Ch. 30: Collateralized Loan Obligations</v>
          </cell>
        </row>
        <row r="63">
          <cell r="B63" t="str">
            <v>Handbook of Fixed Income Securities, Fabozzi, Frank J., 9th Edition, 2021 - Ch. 60: Financial Positions in the Bond Market (pp. 1485-1488)</v>
          </cell>
        </row>
        <row r="64">
          <cell r="B64" t="str">
            <v>Handbook of Fixed Income Securities, Fabozzi, Frank J., 9th Edition, 2021 - Ch. 64: Interest-Rate Swaps (pp. 1575-1580 &amp; 1588-1589)</v>
          </cell>
        </row>
        <row r="65">
          <cell r="B65" t="str">
            <v>Handbook of Fixed Income Securities, Fabozzi, Frank J., 9th Edition, 2021 - Ch. 68: Credit Derivatives (pp. 1657-1671)</v>
          </cell>
        </row>
        <row r="66">
          <cell r="B66" t="str">
            <v>LAM-151-23: High-Yield Bond Market Primer</v>
          </cell>
        </row>
        <row r="67">
          <cell r="B67" t="str">
            <v>LAM-153-23: Managing your Advisor: A Guide to Getting the Most Out of the Portfolio Management Process</v>
          </cell>
        </row>
        <row r="68">
          <cell r="B68" t="str">
            <v xml:space="preserve">LAM-154-23: Ch. 7 (sections 7.2-7.5 &amp; 7A) of Derivatives Markets, McDonald, 3rd Edition </v>
          </cell>
        </row>
        <row r="69">
          <cell r="B69" t="str">
            <v>LAM-155-23: Secured Overnight Financing Rate (SOFR)</v>
          </cell>
        </row>
        <row r="70">
          <cell r="B70" t="str">
            <v>LAM-158-F23:  Managing Liquidity Risk, Industry Practices and Recommendations for CROs, CRO Forum, 2019</v>
          </cell>
        </row>
        <row r="71">
          <cell r="B71" t="str">
            <v>LAM-XXX-24: Profiles of Alternative Assets  in Life Insurance Landscape</v>
          </cell>
        </row>
        <row r="73">
          <cell r="A73" t="str">
            <v>LO#1</v>
          </cell>
          <cell r="B73" t="str">
            <v>Retrieval</v>
          </cell>
        </row>
        <row r="74">
          <cell r="A74" t="str">
            <v>LO#2</v>
          </cell>
          <cell r="B74" t="str">
            <v>Comprehension</v>
          </cell>
        </row>
        <row r="75">
          <cell r="A75" t="str">
            <v>LO#3</v>
          </cell>
          <cell r="B75" t="str">
            <v>Analysis</v>
          </cell>
        </row>
        <row r="76">
          <cell r="A76" t="str">
            <v>LO#4</v>
          </cell>
          <cell r="B76" t="str">
            <v>Knowledge Utilization</v>
          </cell>
        </row>
        <row r="77">
          <cell r="A77" t="str">
            <v>LO#5</v>
          </cell>
        </row>
      </sheetData>
      <sheetData sheetId="2" refreshError="1"/>
      <sheetData sheetId="3">
        <row r="9">
          <cell r="C9" t="str">
            <v>LO#1-9</v>
          </cell>
        </row>
        <row r="10">
          <cell r="C10" t="e">
            <v>#N/A</v>
          </cell>
        </row>
        <row r="11">
          <cell r="C11" t="e">
            <v>#N/A</v>
          </cell>
        </row>
        <row r="12">
          <cell r="C12" t="e">
            <v>#N/A</v>
          </cell>
        </row>
        <row r="13">
          <cell r="C13" t="e">
            <v>#N/A</v>
          </cell>
        </row>
        <row r="14">
          <cell r="C14" t="e">
            <v>#N/A</v>
          </cell>
        </row>
        <row r="15">
          <cell r="C15" t="e">
            <v>#N/A</v>
          </cell>
        </row>
        <row r="16">
          <cell r="C16" t="e">
            <v>#N/A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5E6A-42B6-46F9-83D4-06CF2940B6C5}">
  <dimension ref="A1:I54"/>
  <sheetViews>
    <sheetView workbookViewId="0">
      <selection activeCell="A24" sqref="A24"/>
    </sheetView>
  </sheetViews>
  <sheetFormatPr defaultColWidth="8.85546875" defaultRowHeight="15.75" x14ac:dyDescent="0.25"/>
  <cols>
    <col min="1" max="1" width="50.42578125" style="14" bestFit="1" customWidth="1"/>
    <col min="2" max="2" width="22.85546875" style="14" bestFit="1" customWidth="1"/>
    <col min="3" max="4" width="14.42578125" style="14" customWidth="1"/>
    <col min="5" max="5" width="22.5703125" style="14" bestFit="1" customWidth="1"/>
    <col min="6" max="9" width="14.42578125" style="14" customWidth="1"/>
    <col min="10" max="16384" width="8.85546875" style="14"/>
  </cols>
  <sheetData>
    <row r="1" spans="1:6" x14ac:dyDescent="0.25">
      <c r="A1" s="12" t="s">
        <v>27</v>
      </c>
      <c r="B1" s="13"/>
      <c r="C1" s="13"/>
    </row>
    <row r="2" spans="1:6" x14ac:dyDescent="0.25">
      <c r="A2" s="13"/>
      <c r="B2" s="13"/>
      <c r="C2" s="13"/>
    </row>
    <row r="3" spans="1:6" x14ac:dyDescent="0.25">
      <c r="A3" s="13" t="s">
        <v>28</v>
      </c>
      <c r="B3" s="13"/>
      <c r="C3" s="13"/>
      <c r="E3" s="14" t="s">
        <v>37</v>
      </c>
    </row>
    <row r="4" spans="1:6" ht="16.5" thickBot="1" x14ac:dyDescent="0.3">
      <c r="A4" s="13"/>
      <c r="B4" s="13"/>
      <c r="C4" s="13"/>
    </row>
    <row r="5" spans="1:6" ht="26.25" thickBot="1" x14ac:dyDescent="0.3">
      <c r="A5" s="15" t="s">
        <v>0</v>
      </c>
      <c r="B5" s="16">
        <v>500000</v>
      </c>
      <c r="C5" s="13"/>
      <c r="E5" s="21" t="s">
        <v>0</v>
      </c>
      <c r="F5" s="1">
        <v>500000</v>
      </c>
    </row>
    <row r="6" spans="1:6" ht="26.25" thickBot="1" x14ac:dyDescent="0.3">
      <c r="A6" s="17" t="s">
        <v>2</v>
      </c>
      <c r="B6" s="18" t="s">
        <v>29</v>
      </c>
      <c r="C6" s="13"/>
      <c r="E6" s="21" t="s">
        <v>2</v>
      </c>
      <c r="F6" s="3">
        <v>0.02</v>
      </c>
    </row>
    <row r="7" spans="1:6" ht="26.25" thickBot="1" x14ac:dyDescent="0.3">
      <c r="A7" s="17" t="s">
        <v>4</v>
      </c>
      <c r="B7" s="18" t="s">
        <v>29</v>
      </c>
      <c r="C7" s="13"/>
      <c r="E7" s="21" t="s">
        <v>4</v>
      </c>
      <c r="F7" s="3">
        <v>0.02</v>
      </c>
    </row>
    <row r="8" spans="1:6" ht="26.25" thickBot="1" x14ac:dyDescent="0.3">
      <c r="A8" s="17" t="s">
        <v>7</v>
      </c>
      <c r="B8" s="18" t="s">
        <v>30</v>
      </c>
      <c r="C8" s="13"/>
      <c r="E8" s="21" t="s">
        <v>7</v>
      </c>
      <c r="F8" s="3">
        <v>0.05</v>
      </c>
    </row>
    <row r="9" spans="1:6" ht="39" thickBot="1" x14ac:dyDescent="0.3">
      <c r="A9" s="17" t="s">
        <v>9</v>
      </c>
      <c r="B9" s="18">
        <v>300</v>
      </c>
      <c r="C9" s="13"/>
      <c r="E9" s="21" t="s">
        <v>9</v>
      </c>
      <c r="F9" s="5">
        <v>300</v>
      </c>
    </row>
    <row r="10" spans="1:6" ht="16.5" thickBot="1" x14ac:dyDescent="0.3">
      <c r="A10" s="17" t="s">
        <v>11</v>
      </c>
      <c r="B10" s="18" t="s">
        <v>31</v>
      </c>
      <c r="C10" s="13"/>
      <c r="E10" s="21" t="s">
        <v>11</v>
      </c>
      <c r="F10" s="3">
        <v>1.2</v>
      </c>
    </row>
    <row r="11" spans="1:6" ht="16.5" thickBot="1" x14ac:dyDescent="0.3">
      <c r="A11" s="17" t="s">
        <v>13</v>
      </c>
      <c r="B11" s="18" t="s">
        <v>14</v>
      </c>
      <c r="C11" s="13"/>
      <c r="E11" s="21" t="s">
        <v>13</v>
      </c>
      <c r="F11" s="5" t="s">
        <v>14</v>
      </c>
    </row>
    <row r="12" spans="1:6" ht="26.25" thickBot="1" x14ac:dyDescent="0.3">
      <c r="A12" s="17" t="s">
        <v>16</v>
      </c>
      <c r="B12" s="19">
        <v>0.03</v>
      </c>
      <c r="C12" s="13"/>
      <c r="E12" s="21" t="s">
        <v>16</v>
      </c>
      <c r="F12" s="7">
        <v>0.03</v>
      </c>
    </row>
    <row r="13" spans="1:6" ht="26.25" thickBot="1" x14ac:dyDescent="0.3">
      <c r="A13" s="17" t="s">
        <v>17</v>
      </c>
      <c r="B13" s="19">
        <v>0.06</v>
      </c>
      <c r="C13" s="13"/>
      <c r="E13" s="21" t="s">
        <v>17</v>
      </c>
      <c r="F13" s="7">
        <v>0.06</v>
      </c>
    </row>
    <row r="14" spans="1:6" ht="16.5" thickBot="1" x14ac:dyDescent="0.3">
      <c r="A14" s="17" t="s">
        <v>18</v>
      </c>
      <c r="B14" s="18" t="s">
        <v>19</v>
      </c>
      <c r="C14" s="13"/>
      <c r="E14" s="21" t="s">
        <v>18</v>
      </c>
      <c r="F14" s="5" t="s">
        <v>19</v>
      </c>
    </row>
    <row r="15" spans="1:6" ht="16.5" thickBot="1" x14ac:dyDescent="0.3">
      <c r="A15" s="17" t="s">
        <v>20</v>
      </c>
      <c r="B15" s="19">
        <v>0.03</v>
      </c>
      <c r="C15" s="13"/>
      <c r="E15" s="21" t="s">
        <v>20</v>
      </c>
      <c r="F15" s="3">
        <v>0.03</v>
      </c>
    </row>
    <row r="16" spans="1:6" x14ac:dyDescent="0.25">
      <c r="A16" s="13"/>
      <c r="B16" s="13"/>
      <c r="C16" s="13"/>
    </row>
    <row r="17" spans="1:9" x14ac:dyDescent="0.25">
      <c r="A17" s="20" t="s">
        <v>32</v>
      </c>
      <c r="B17" s="13"/>
      <c r="C17" s="13"/>
    </row>
    <row r="18" spans="1:9" x14ac:dyDescent="0.25">
      <c r="A18" s="12" t="s">
        <v>33</v>
      </c>
      <c r="B18" s="13"/>
      <c r="C18" s="13"/>
    </row>
    <row r="19" spans="1:9" x14ac:dyDescent="0.25">
      <c r="A19" s="20"/>
      <c r="B19" s="13"/>
      <c r="C19" s="13"/>
    </row>
    <row r="20" spans="1:9" x14ac:dyDescent="0.25">
      <c r="A20" s="20" t="s">
        <v>34</v>
      </c>
      <c r="B20" s="13"/>
      <c r="C20" s="13"/>
    </row>
    <row r="21" spans="1:9" x14ac:dyDescent="0.25">
      <c r="A21" s="12" t="s">
        <v>33</v>
      </c>
      <c r="B21" s="13"/>
      <c r="C21" s="13"/>
    </row>
    <row r="22" spans="1:9" x14ac:dyDescent="0.25">
      <c r="A22" s="13"/>
      <c r="B22" s="13"/>
      <c r="C22" s="13"/>
    </row>
    <row r="25" spans="1:9" x14ac:dyDescent="0.25">
      <c r="A25" s="14" t="s">
        <v>35</v>
      </c>
    </row>
    <row r="27" spans="1:9" x14ac:dyDescent="0.25">
      <c r="A27" s="23" t="s">
        <v>1</v>
      </c>
      <c r="B27" s="23">
        <v>0</v>
      </c>
      <c r="C27" s="23">
        <v>1</v>
      </c>
      <c r="D27" s="23">
        <v>2</v>
      </c>
      <c r="E27" s="23">
        <v>3</v>
      </c>
      <c r="F27" s="23">
        <v>4</v>
      </c>
      <c r="G27" s="23">
        <v>5</v>
      </c>
      <c r="H27" s="23">
        <v>6</v>
      </c>
      <c r="I27" s="23">
        <v>7</v>
      </c>
    </row>
    <row r="28" spans="1:9" x14ac:dyDescent="0.25">
      <c r="A28" s="24" t="s">
        <v>3</v>
      </c>
      <c r="B28" s="4"/>
      <c r="C28" s="4">
        <v>0</v>
      </c>
      <c r="D28" s="4">
        <f>C33</f>
        <v>508800</v>
      </c>
      <c r="E28" s="4">
        <f t="shared" ref="E28:I28" si="0">D33</f>
        <v>517754.88</v>
      </c>
      <c r="F28" s="4">
        <f t="shared" si="0"/>
        <v>526867.365888</v>
      </c>
      <c r="G28" s="4">
        <f t="shared" si="0"/>
        <v>536140.23152762884</v>
      </c>
      <c r="H28" s="4">
        <f t="shared" si="0"/>
        <v>545576.29960251518</v>
      </c>
      <c r="I28" s="4">
        <f t="shared" si="0"/>
        <v>555178.44247551949</v>
      </c>
    </row>
    <row r="29" spans="1:9" x14ac:dyDescent="0.25">
      <c r="A29" s="24" t="s">
        <v>5</v>
      </c>
      <c r="B29" s="4"/>
      <c r="C29" s="4">
        <f>F5</f>
        <v>500000</v>
      </c>
      <c r="D29" s="4"/>
      <c r="E29" s="4"/>
      <c r="F29" s="4"/>
      <c r="G29" s="4"/>
      <c r="H29" s="4"/>
      <c r="I29" s="4"/>
    </row>
    <row r="30" spans="1:9" x14ac:dyDescent="0.25">
      <c r="A30" s="24" t="s">
        <v>8</v>
      </c>
      <c r="B30" s="4"/>
      <c r="C30" s="4">
        <f>SUM(C28:C29)*-$F$6</f>
        <v>-10000</v>
      </c>
      <c r="D30" s="4">
        <f>SUM(D28:D29)*-$F$6</f>
        <v>-10176</v>
      </c>
      <c r="E30" s="4">
        <f t="shared" ref="E30:I30" si="1">SUM(E28:E29)*-$F$6</f>
        <v>-10355.097600000001</v>
      </c>
      <c r="F30" s="4">
        <f t="shared" si="1"/>
        <v>-10537.347317760001</v>
      </c>
      <c r="G30" s="4">
        <f t="shared" si="1"/>
        <v>-10722.804630552577</v>
      </c>
      <c r="H30" s="4">
        <f t="shared" si="1"/>
        <v>-10911.525992050303</v>
      </c>
      <c r="I30" s="4">
        <f t="shared" si="1"/>
        <v>-11103.56884951039</v>
      </c>
    </row>
    <row r="31" spans="1:9" x14ac:dyDescent="0.25">
      <c r="A31" s="24" t="s">
        <v>10</v>
      </c>
      <c r="B31" s="4"/>
      <c r="C31" s="4">
        <f>SUM(C28:C29)*-$F$7</f>
        <v>-10000</v>
      </c>
      <c r="D31" s="4">
        <f>SUM(D28:D29)*-$F$7</f>
        <v>-10176</v>
      </c>
      <c r="E31" s="4">
        <f t="shared" ref="E31:I31" si="2">SUM(E28:E29)*-$F$7</f>
        <v>-10355.097600000001</v>
      </c>
      <c r="F31" s="4">
        <f t="shared" si="2"/>
        <v>-10537.347317760001</v>
      </c>
      <c r="G31" s="4">
        <f t="shared" si="2"/>
        <v>-10722.804630552577</v>
      </c>
      <c r="H31" s="4">
        <f t="shared" si="2"/>
        <v>-10911.525992050303</v>
      </c>
      <c r="I31" s="4">
        <f t="shared" si="2"/>
        <v>-11103.56884951039</v>
      </c>
    </row>
    <row r="32" spans="1:9" x14ac:dyDescent="0.25">
      <c r="A32" s="25" t="s">
        <v>12</v>
      </c>
      <c r="B32" s="6"/>
      <c r="C32" s="6">
        <f>SUM(C28:C31)*$F$13</f>
        <v>28800</v>
      </c>
      <c r="D32" s="6">
        <f>SUM(D28:D31)*$F$13</f>
        <v>29306.879999999997</v>
      </c>
      <c r="E32" s="6">
        <f t="shared" ref="E32:I32" si="3">SUM(E28:E31)*$F$13</f>
        <v>29822.681088000001</v>
      </c>
      <c r="F32" s="6">
        <f t="shared" si="3"/>
        <v>30347.5602751488</v>
      </c>
      <c r="G32" s="6">
        <f t="shared" si="3"/>
        <v>30881.677335991422</v>
      </c>
      <c r="H32" s="6">
        <f t="shared" si="3"/>
        <v>31425.194857104874</v>
      </c>
      <c r="I32" s="6">
        <f t="shared" si="3"/>
        <v>31978.278286589921</v>
      </c>
    </row>
    <row r="33" spans="1:9" x14ac:dyDescent="0.25">
      <c r="A33" t="s">
        <v>15</v>
      </c>
      <c r="B33" s="4"/>
      <c r="C33" s="4">
        <f t="shared" ref="C33:I33" si="4">SUM(C28:C32)</f>
        <v>508800</v>
      </c>
      <c r="D33" s="4">
        <f t="shared" si="4"/>
        <v>517754.88</v>
      </c>
      <c r="E33" s="4">
        <f t="shared" si="4"/>
        <v>526867.365888</v>
      </c>
      <c r="F33" s="4">
        <f t="shared" si="4"/>
        <v>536140.23152762884</v>
      </c>
      <c r="G33" s="4">
        <f t="shared" si="4"/>
        <v>545576.29960251518</v>
      </c>
      <c r="H33" s="4">
        <f t="shared" si="4"/>
        <v>555178.44247551949</v>
      </c>
      <c r="I33" s="4">
        <f t="shared" si="4"/>
        <v>564949.58306308859</v>
      </c>
    </row>
    <row r="34" spans="1:9" x14ac:dyDescent="0.25">
      <c r="A34" s="2"/>
      <c r="B34" s="2"/>
      <c r="C34" s="2"/>
      <c r="D34" s="2"/>
      <c r="E34" s="2"/>
      <c r="F34" s="2"/>
      <c r="G34" s="2"/>
      <c r="H34" s="2"/>
      <c r="I34" s="2"/>
    </row>
    <row r="35" spans="1:9" x14ac:dyDescent="0.25">
      <c r="A35" s="2"/>
      <c r="B35" s="2"/>
      <c r="C35" s="2"/>
      <c r="D35" s="2"/>
      <c r="E35" s="2"/>
      <c r="F35" s="2"/>
      <c r="G35" s="2"/>
      <c r="H35" s="26" t="s">
        <v>39</v>
      </c>
      <c r="I35" s="22">
        <f>MAX(I33,F5*F10)</f>
        <v>600000</v>
      </c>
    </row>
    <row r="36" spans="1:9" x14ac:dyDescent="0.25">
      <c r="A36" s="2"/>
      <c r="B36" s="2"/>
      <c r="C36" s="2"/>
      <c r="D36" s="2"/>
      <c r="E36" s="2"/>
      <c r="F36" s="2"/>
      <c r="G36" s="2"/>
      <c r="H36" s="2"/>
      <c r="I36" s="2"/>
    </row>
    <row r="37" spans="1:9" x14ac:dyDescent="0.25">
      <c r="A37" s="2"/>
      <c r="B37" s="2"/>
      <c r="C37" s="2"/>
      <c r="D37" s="2"/>
      <c r="E37" s="2"/>
      <c r="F37" s="2"/>
      <c r="G37" s="2"/>
      <c r="H37" s="8"/>
      <c r="I37" s="4"/>
    </row>
    <row r="38" spans="1:9" x14ac:dyDescent="0.25">
      <c r="A38" s="2" t="s">
        <v>36</v>
      </c>
      <c r="B38" s="2"/>
      <c r="C38" s="2"/>
      <c r="D38" s="2"/>
      <c r="E38" s="2"/>
      <c r="F38" s="2"/>
      <c r="G38" s="2"/>
      <c r="H38" s="2"/>
      <c r="I38" s="2"/>
    </row>
    <row r="39" spans="1:9" x14ac:dyDescent="0.25">
      <c r="A39" s="27" t="s">
        <v>40</v>
      </c>
      <c r="B39" s="2"/>
      <c r="C39" s="2"/>
      <c r="D39" s="2"/>
      <c r="E39" s="2"/>
      <c r="F39" s="2"/>
      <c r="G39" s="2"/>
      <c r="H39" s="2"/>
      <c r="I39" s="2"/>
    </row>
    <row r="40" spans="1:9" x14ac:dyDescent="0.25">
      <c r="A40" t="s">
        <v>21</v>
      </c>
      <c r="B40" s="23">
        <v>0</v>
      </c>
      <c r="C40" s="23">
        <v>1</v>
      </c>
      <c r="D40" s="23">
        <v>2</v>
      </c>
      <c r="E40" s="23">
        <v>3</v>
      </c>
      <c r="F40" s="23">
        <v>4</v>
      </c>
      <c r="G40" s="23">
        <v>5</v>
      </c>
      <c r="H40" s="23">
        <v>6</v>
      </c>
      <c r="I40" s="23">
        <v>7</v>
      </c>
    </row>
    <row r="41" spans="1:9" x14ac:dyDescent="0.25">
      <c r="A41" s="24" t="s">
        <v>3</v>
      </c>
      <c r="B41" s="9"/>
      <c r="C41" s="9">
        <v>1</v>
      </c>
      <c r="D41" s="9">
        <f>C43</f>
        <v>0.97</v>
      </c>
      <c r="E41" s="9">
        <f t="shared" ref="E41:I41" si="5">D43</f>
        <v>0.94089999999999996</v>
      </c>
      <c r="F41" s="9">
        <f t="shared" si="5"/>
        <v>0.91267299999999996</v>
      </c>
      <c r="G41" s="9">
        <f t="shared" si="5"/>
        <v>0.88529280999999993</v>
      </c>
      <c r="H41" s="9">
        <f t="shared" si="5"/>
        <v>0.8587340256999999</v>
      </c>
      <c r="I41" s="9">
        <f t="shared" si="5"/>
        <v>0.83297200492899992</v>
      </c>
    </row>
    <row r="42" spans="1:9" x14ac:dyDescent="0.25">
      <c r="A42" s="25" t="s">
        <v>22</v>
      </c>
      <c r="B42" s="10"/>
      <c r="C42" s="10">
        <f>C41*-$F$12</f>
        <v>-0.03</v>
      </c>
      <c r="D42" s="10">
        <f t="shared" ref="D42:I42" si="6">D41*-$F$12</f>
        <v>-2.9099999999999997E-2</v>
      </c>
      <c r="E42" s="10">
        <f t="shared" si="6"/>
        <v>-2.8226999999999999E-2</v>
      </c>
      <c r="F42" s="10">
        <f t="shared" si="6"/>
        <v>-2.7380189999999999E-2</v>
      </c>
      <c r="G42" s="10">
        <f t="shared" si="6"/>
        <v>-2.6558784299999996E-2</v>
      </c>
      <c r="H42" s="10">
        <f t="shared" si="6"/>
        <v>-2.5762020770999997E-2</v>
      </c>
      <c r="I42" s="10">
        <f t="shared" si="6"/>
        <v>-2.4989160147869997E-2</v>
      </c>
    </row>
    <row r="43" spans="1:9" x14ac:dyDescent="0.25">
      <c r="A43" t="s">
        <v>15</v>
      </c>
      <c r="B43" s="9"/>
      <c r="C43" s="9">
        <f>SUM(C41:C42)</f>
        <v>0.97</v>
      </c>
      <c r="D43" s="9">
        <f t="shared" ref="D43:I43" si="7">SUM(D41:D42)</f>
        <v>0.94089999999999996</v>
      </c>
      <c r="E43" s="9">
        <f t="shared" si="7"/>
        <v>0.91267299999999996</v>
      </c>
      <c r="F43" s="9">
        <f t="shared" si="7"/>
        <v>0.88529280999999993</v>
      </c>
      <c r="G43" s="9">
        <f t="shared" si="7"/>
        <v>0.8587340256999999</v>
      </c>
      <c r="H43" s="9">
        <f t="shared" si="7"/>
        <v>0.83297200492899992</v>
      </c>
      <c r="I43" s="9">
        <f t="shared" si="7"/>
        <v>0.80798284478112992</v>
      </c>
    </row>
    <row r="44" spans="1:9" x14ac:dyDescent="0.25">
      <c r="A44"/>
      <c r="B44" s="9"/>
      <c r="C44" s="9"/>
      <c r="D44" s="9"/>
      <c r="E44" s="9"/>
      <c r="F44" s="9"/>
      <c r="G44" s="9"/>
      <c r="H44" s="9"/>
      <c r="I44" s="9"/>
    </row>
    <row r="45" spans="1:9" x14ac:dyDescent="0.25">
      <c r="A45" s="27" t="s">
        <v>41</v>
      </c>
      <c r="B45"/>
      <c r="C45"/>
      <c r="D45"/>
      <c r="E45"/>
      <c r="F45"/>
      <c r="G45"/>
      <c r="H45"/>
      <c r="I45"/>
    </row>
    <row r="46" spans="1:9" x14ac:dyDescent="0.25">
      <c r="A46" s="24" t="s">
        <v>6</v>
      </c>
      <c r="B46" s="4">
        <f t="shared" ref="B46:H46" si="8">-SUM(C30:C31)*C41</f>
        <v>20000</v>
      </c>
      <c r="C46" s="4">
        <f t="shared" si="8"/>
        <v>19741.439999999999</v>
      </c>
      <c r="D46" s="4">
        <f t="shared" si="8"/>
        <v>19486.222663680001</v>
      </c>
      <c r="E46" s="4">
        <f t="shared" si="8"/>
        <v>19234.304777083944</v>
      </c>
      <c r="F46" s="4">
        <f t="shared" si="8"/>
        <v>18985.643684925803</v>
      </c>
      <c r="G46" s="4">
        <f t="shared" si="8"/>
        <v>18740.197283367084</v>
      </c>
      <c r="H46" s="4">
        <f t="shared" si="8"/>
        <v>18497.924012887717</v>
      </c>
      <c r="I46"/>
    </row>
    <row r="47" spans="1:9" x14ac:dyDescent="0.25">
      <c r="A47" s="24" t="s">
        <v>23</v>
      </c>
      <c r="B47" s="4">
        <f>(-1)*F8*F5*C41</f>
        <v>-25000</v>
      </c>
      <c r="C47" s="4"/>
      <c r="D47" s="4"/>
      <c r="E47" s="4"/>
      <c r="F47" s="4"/>
      <c r="G47" s="4"/>
      <c r="H47" s="4"/>
      <c r="I47"/>
    </row>
    <row r="48" spans="1:9" x14ac:dyDescent="0.25">
      <c r="A48" s="24" t="s">
        <v>24</v>
      </c>
      <c r="B48" s="4">
        <f>-$F$9*C41</f>
        <v>-300</v>
      </c>
      <c r="C48" s="4">
        <f t="shared" ref="C48:H48" si="9">-$F$9*D41</f>
        <v>-291</v>
      </c>
      <c r="D48" s="4">
        <f t="shared" si="9"/>
        <v>-282.27</v>
      </c>
      <c r="E48" s="4">
        <f t="shared" si="9"/>
        <v>-273.80189999999999</v>
      </c>
      <c r="F48" s="4">
        <f t="shared" si="9"/>
        <v>-265.58784299999996</v>
      </c>
      <c r="G48" s="4">
        <f t="shared" si="9"/>
        <v>-257.62020770999999</v>
      </c>
      <c r="H48" s="4">
        <f t="shared" si="9"/>
        <v>-249.89160147869998</v>
      </c>
      <c r="I48"/>
    </row>
    <row r="49" spans="1:9" x14ac:dyDescent="0.25">
      <c r="A49" s="25" t="s">
        <v>11</v>
      </c>
      <c r="B49" s="6"/>
      <c r="C49" s="6"/>
      <c r="D49" s="6"/>
      <c r="E49" s="6"/>
      <c r="F49" s="6"/>
      <c r="G49" s="6"/>
      <c r="H49" s="6"/>
      <c r="I49" s="6">
        <f>-(I35-I33)*I43</f>
        <v>-28320.135587450379</v>
      </c>
    </row>
    <row r="50" spans="1:9" x14ac:dyDescent="0.25">
      <c r="A50" t="s">
        <v>25</v>
      </c>
      <c r="B50" s="4">
        <f t="shared" ref="B50:I50" si="10">SUM(B46:B49)</f>
        <v>-5300</v>
      </c>
      <c r="C50" s="4">
        <f t="shared" si="10"/>
        <v>19450.439999999999</v>
      </c>
      <c r="D50" s="4">
        <f t="shared" si="10"/>
        <v>19203.95266368</v>
      </c>
      <c r="E50" s="4">
        <f t="shared" si="10"/>
        <v>18960.502877083945</v>
      </c>
      <c r="F50" s="4">
        <f t="shared" si="10"/>
        <v>18720.055841925801</v>
      </c>
      <c r="G50" s="4">
        <f t="shared" si="10"/>
        <v>18482.577075657086</v>
      </c>
      <c r="H50" s="4">
        <f t="shared" si="10"/>
        <v>18248.032411409018</v>
      </c>
      <c r="I50" s="4">
        <f t="shared" si="10"/>
        <v>-28320.135587450379</v>
      </c>
    </row>
    <row r="51" spans="1:9" x14ac:dyDescent="0.25">
      <c r="A51"/>
      <c r="B51" s="4"/>
      <c r="C51" s="4"/>
      <c r="D51" s="4"/>
      <c r="E51" s="4"/>
      <c r="F51" s="4"/>
      <c r="G51" s="4"/>
      <c r="H51" s="4"/>
      <c r="I51" s="4"/>
    </row>
    <row r="52" spans="1:9" x14ac:dyDescent="0.25">
      <c r="A52" s="24" t="s">
        <v>26</v>
      </c>
      <c r="B52" s="11">
        <v>1</v>
      </c>
      <c r="C52" s="11">
        <f>B52/(1+$F$15)</f>
        <v>0.970873786407767</v>
      </c>
      <c r="D52" s="11">
        <f t="shared" ref="D52:I52" si="11">C52/(1+$F$15)</f>
        <v>0.94259590913375435</v>
      </c>
      <c r="E52" s="11">
        <f t="shared" si="11"/>
        <v>0.9151416593531595</v>
      </c>
      <c r="F52" s="11">
        <f t="shared" si="11"/>
        <v>0.88848704791568878</v>
      </c>
      <c r="G52" s="11">
        <f t="shared" si="11"/>
        <v>0.86260878438416388</v>
      </c>
      <c r="H52" s="11">
        <f t="shared" si="11"/>
        <v>0.83748425668365423</v>
      </c>
      <c r="I52" s="11">
        <f t="shared" si="11"/>
        <v>0.81309151134335356</v>
      </c>
    </row>
    <row r="53" spans="1:9" x14ac:dyDescent="0.25">
      <c r="A53" s="2"/>
      <c r="B53" s="2"/>
      <c r="C53" s="2"/>
      <c r="D53" s="2"/>
      <c r="E53" s="2"/>
      <c r="F53" s="2"/>
      <c r="G53" s="2"/>
      <c r="H53" s="2"/>
      <c r="I53" s="2"/>
    </row>
    <row r="54" spans="1:9" x14ac:dyDescent="0.25">
      <c r="A54" s="2"/>
      <c r="B54" s="2"/>
      <c r="C54" s="2"/>
      <c r="D54" s="2"/>
      <c r="E54" s="2"/>
      <c r="F54" s="2"/>
      <c r="G54" s="2"/>
      <c r="H54" s="26" t="s">
        <v>38</v>
      </c>
      <c r="I54" s="22">
        <f>SUMPRODUCT(B52:I52,B50:I50)</f>
        <v>73868.374124273148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EA31-8407-4169-95E2-EB808C379637}">
  <sheetPr>
    <tabColor theme="6"/>
  </sheetPr>
  <dimension ref="A1:E21"/>
  <sheetViews>
    <sheetView zoomScaleNormal="100" workbookViewId="0">
      <selection activeCell="D17" sqref="D17"/>
    </sheetView>
  </sheetViews>
  <sheetFormatPr defaultColWidth="8.85546875" defaultRowHeight="12.75" x14ac:dyDescent="0.2"/>
  <cols>
    <col min="1" max="6" width="19.140625" style="28" customWidth="1"/>
    <col min="7" max="16384" width="8.85546875" style="28"/>
  </cols>
  <sheetData>
    <row r="1" spans="1:5" ht="13.5" thickBot="1" x14ac:dyDescent="0.25">
      <c r="A1" s="41" t="s">
        <v>47</v>
      </c>
      <c r="B1" s="41" t="s">
        <v>50</v>
      </c>
    </row>
    <row r="2" spans="1:5" ht="13.5" thickBot="1" x14ac:dyDescent="0.25">
      <c r="A2" s="40">
        <v>3</v>
      </c>
      <c r="B2" s="39">
        <v>95.88</v>
      </c>
    </row>
    <row r="3" spans="1:5" ht="13.5" thickBot="1" x14ac:dyDescent="0.25">
      <c r="A3" s="40">
        <v>7</v>
      </c>
      <c r="B3" s="39">
        <v>74.09</v>
      </c>
    </row>
    <row r="4" spans="1:5" ht="13.5" thickBot="1" x14ac:dyDescent="0.25">
      <c r="A4" s="40">
        <v>15</v>
      </c>
      <c r="B4" s="39">
        <v>47.94</v>
      </c>
    </row>
    <row r="5" spans="1:5" ht="13.5" thickBot="1" x14ac:dyDescent="0.25"/>
    <row r="6" spans="1:5" ht="13.5" thickBot="1" x14ac:dyDescent="0.25">
      <c r="A6" s="38" t="s">
        <v>47</v>
      </c>
      <c r="B6" s="38" t="s">
        <v>44</v>
      </c>
    </row>
    <row r="7" spans="1:5" ht="13.5" thickBot="1" x14ac:dyDescent="0.25">
      <c r="A7" s="37">
        <v>3</v>
      </c>
      <c r="B7" s="36">
        <v>1.32</v>
      </c>
    </row>
    <row r="8" spans="1:5" ht="13.5" thickBot="1" x14ac:dyDescent="0.25">
      <c r="A8" s="37">
        <v>7</v>
      </c>
      <c r="B8" s="36">
        <v>2.19</v>
      </c>
    </row>
    <row r="9" spans="1:5" ht="13.5" thickBot="1" x14ac:dyDescent="0.25">
      <c r="A9" s="37">
        <v>15</v>
      </c>
      <c r="B9" s="36">
        <v>3.3</v>
      </c>
    </row>
    <row r="10" spans="1:5" x14ac:dyDescent="0.2">
      <c r="D10" s="35"/>
    </row>
    <row r="11" spans="1:5" x14ac:dyDescent="0.2">
      <c r="A11" s="28" t="s">
        <v>49</v>
      </c>
    </row>
    <row r="13" spans="1:5" x14ac:dyDescent="0.2">
      <c r="A13" s="28" t="s">
        <v>48</v>
      </c>
      <c r="B13" s="34">
        <f>SUM(B2:B4)</f>
        <v>217.91</v>
      </c>
    </row>
    <row r="15" spans="1:5" x14ac:dyDescent="0.2">
      <c r="A15" s="28" t="s">
        <v>47</v>
      </c>
      <c r="B15" s="28" t="s">
        <v>46</v>
      </c>
      <c r="C15" s="28" t="s">
        <v>45</v>
      </c>
      <c r="D15" s="28" t="s">
        <v>44</v>
      </c>
      <c r="E15" s="28" t="s">
        <v>43</v>
      </c>
    </row>
    <row r="16" spans="1:5" x14ac:dyDescent="0.2">
      <c r="A16" s="28">
        <v>3</v>
      </c>
      <c r="B16" s="33">
        <f>B2/$B$13</f>
        <v>0.43999816437978978</v>
      </c>
      <c r="C16" s="31">
        <f>A2</f>
        <v>3</v>
      </c>
      <c r="D16" s="32">
        <f>C16*B16</f>
        <v>1.3199944931393692</v>
      </c>
      <c r="E16" s="28" t="b">
        <f>ROUND(D16,2)=B7</f>
        <v>1</v>
      </c>
    </row>
    <row r="17" spans="1:5" x14ac:dyDescent="0.2">
      <c r="A17" s="28">
        <v>7</v>
      </c>
      <c r="B17" s="33">
        <f>B3/$B$13</f>
        <v>0.34000275343031527</v>
      </c>
      <c r="C17" s="31">
        <f>A3</f>
        <v>7</v>
      </c>
      <c r="D17" s="29">
        <f>C17*B17</f>
        <v>2.380019274012207</v>
      </c>
      <c r="E17" s="28" t="b">
        <f>ROUND(D17,2)=B8</f>
        <v>0</v>
      </c>
    </row>
    <row r="18" spans="1:5" x14ac:dyDescent="0.2">
      <c r="A18" s="28">
        <v>15</v>
      </c>
      <c r="B18" s="33">
        <f>B4/$B$13</f>
        <v>0.21999908218989489</v>
      </c>
      <c r="C18" s="31">
        <f>A4</f>
        <v>15</v>
      </c>
      <c r="D18" s="32">
        <f>C18*B18</f>
        <v>3.2999862328484233</v>
      </c>
      <c r="E18" s="28" t="b">
        <f>ROUND(D18,2)=B9</f>
        <v>1</v>
      </c>
    </row>
    <row r="19" spans="1:5" x14ac:dyDescent="0.2">
      <c r="D19" s="31">
        <f>SUM(D16:D18)</f>
        <v>7</v>
      </c>
    </row>
    <row r="20" spans="1:5" x14ac:dyDescent="0.2">
      <c r="C20" s="30"/>
    </row>
    <row r="21" spans="1:5" x14ac:dyDescent="0.2">
      <c r="C21" s="28" t="s">
        <v>42</v>
      </c>
      <c r="D21" s="29">
        <f>SUMPRODUCT(B2:B4,A2:A4)/SUM(B2:B4)</f>
        <v>7</v>
      </c>
    </row>
  </sheetData>
  <pageMargins left="0.7" right="0.7" top="0.75" bottom="0.75" header="0.3" footer="0.3"/>
  <headerFooter>
    <oddFooter>&amp;C_x000D_&amp;1#&amp;"Calibri"&amp;8&amp;K000000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B6A55-55C6-43C1-98C8-9917200AD47F}">
  <sheetPr>
    <tabColor theme="6"/>
  </sheetPr>
  <dimension ref="A1:B11"/>
  <sheetViews>
    <sheetView zoomScaleNormal="100" workbookViewId="0">
      <selection activeCell="B11" sqref="B11"/>
    </sheetView>
  </sheetViews>
  <sheetFormatPr defaultColWidth="8.85546875" defaultRowHeight="12.75" x14ac:dyDescent="0.2"/>
  <cols>
    <col min="1" max="1" width="26.42578125" style="28" customWidth="1"/>
    <col min="2" max="2" width="15.42578125" style="28" customWidth="1"/>
    <col min="3" max="16384" width="8.85546875" style="28"/>
  </cols>
  <sheetData>
    <row r="1" spans="1:2" x14ac:dyDescent="0.2">
      <c r="A1" s="28" t="s">
        <v>54</v>
      </c>
    </row>
    <row r="2" spans="1:2" x14ac:dyDescent="0.2">
      <c r="A2" s="28" t="s">
        <v>53</v>
      </c>
    </row>
    <row r="4" spans="1:2" x14ac:dyDescent="0.2">
      <c r="A4" s="45" t="s">
        <v>47</v>
      </c>
      <c r="B4" s="45" t="s">
        <v>52</v>
      </c>
    </row>
    <row r="5" spans="1:2" x14ac:dyDescent="0.2">
      <c r="A5" s="44">
        <v>3</v>
      </c>
      <c r="B5" s="43">
        <f>'Q4 Calc (a)(i)'!D16</f>
        <v>1.3199944931393692</v>
      </c>
    </row>
    <row r="6" spans="1:2" x14ac:dyDescent="0.2">
      <c r="A6" s="44">
        <v>7</v>
      </c>
      <c r="B6" s="43">
        <f>'Q4 Calc (a)(i)'!D17</f>
        <v>2.380019274012207</v>
      </c>
    </row>
    <row r="7" spans="1:2" x14ac:dyDescent="0.2">
      <c r="A7" s="44">
        <v>15</v>
      </c>
      <c r="B7" s="43">
        <f>'Q4 Calc (a)(i)'!D18</f>
        <v>3.2999862328484233</v>
      </c>
    </row>
    <row r="9" spans="1:2" x14ac:dyDescent="0.2">
      <c r="A9" s="28" t="s">
        <v>51</v>
      </c>
      <c r="B9" s="34">
        <f>SUM(B5:B7)</f>
        <v>7</v>
      </c>
    </row>
    <row r="11" spans="1:2" x14ac:dyDescent="0.2">
      <c r="A11" s="28" t="s">
        <v>42</v>
      </c>
      <c r="B11" s="42" t="b">
        <f>B9='Q4 Calc (a)(i)'!A3</f>
        <v>1</v>
      </c>
    </row>
  </sheetData>
  <pageMargins left="0.7" right="0.7" top="0.75" bottom="0.75" header="0.3" footer="0.3"/>
  <headerFooter>
    <oddFooter>&amp;C_x000D_&amp;1#&amp;"Calibri"&amp;8&amp;K000000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E3B8-22E8-4F4F-B552-228206E763D4}">
  <sheetPr>
    <tabColor theme="6"/>
  </sheetPr>
  <dimension ref="A1:E26"/>
  <sheetViews>
    <sheetView topLeftCell="A19" zoomScaleNormal="100" workbookViewId="0"/>
  </sheetViews>
  <sheetFormatPr defaultColWidth="8.85546875" defaultRowHeight="12.75" x14ac:dyDescent="0.2"/>
  <cols>
    <col min="1" max="4" width="13.42578125" style="28" customWidth="1"/>
    <col min="5" max="5" width="14.85546875" style="28" customWidth="1"/>
    <col min="6" max="16384" width="8.85546875" style="28"/>
  </cols>
  <sheetData>
    <row r="1" spans="1:5" ht="13.5" thickBot="1" x14ac:dyDescent="0.25">
      <c r="A1" s="38" t="s">
        <v>70</v>
      </c>
      <c r="B1" s="41" t="s">
        <v>47</v>
      </c>
      <c r="C1" s="41" t="s">
        <v>71</v>
      </c>
      <c r="D1" s="41" t="s">
        <v>50</v>
      </c>
      <c r="E1" s="41" t="s">
        <v>44</v>
      </c>
    </row>
    <row r="2" spans="1:5" ht="13.5" thickBot="1" x14ac:dyDescent="0.25">
      <c r="A2" s="37">
        <v>1</v>
      </c>
      <c r="B2" s="40">
        <v>3</v>
      </c>
      <c r="C2" s="40">
        <v>100</v>
      </c>
      <c r="D2" s="39">
        <f>'Q4 Calc (a)(i)'!B2</f>
        <v>95.88</v>
      </c>
      <c r="E2" s="39">
        <f>'Q4 Calc (a)(i)'!D16</f>
        <v>1.3199944931393692</v>
      </c>
    </row>
    <row r="3" spans="1:5" ht="13.5" thickBot="1" x14ac:dyDescent="0.25">
      <c r="A3" s="37">
        <v>2</v>
      </c>
      <c r="B3" s="40">
        <v>7</v>
      </c>
      <c r="C3" s="40">
        <v>100</v>
      </c>
      <c r="D3" s="39">
        <f>'Q4 Calc (a)(i)'!B3</f>
        <v>74.09</v>
      </c>
      <c r="E3" s="39">
        <f>'Q4 Calc (a)(i)'!D17</f>
        <v>2.380019274012207</v>
      </c>
    </row>
    <row r="4" spans="1:5" ht="13.5" thickBot="1" x14ac:dyDescent="0.25">
      <c r="A4" s="37">
        <v>3</v>
      </c>
      <c r="B4" s="40">
        <v>15</v>
      </c>
      <c r="C4" s="40">
        <v>100</v>
      </c>
      <c r="D4" s="39">
        <f>'Q4 Calc (a)(i)'!B4</f>
        <v>47.94</v>
      </c>
      <c r="E4" s="39">
        <f>'Q4 Calc (a)(i)'!D18</f>
        <v>3.2999862328484233</v>
      </c>
    </row>
    <row r="5" spans="1:5" ht="13.5" thickBot="1" x14ac:dyDescent="0.25">
      <c r="A5" s="35"/>
    </row>
    <row r="6" spans="1:5" ht="13.5" thickBot="1" x14ac:dyDescent="0.25">
      <c r="A6" s="38" t="s">
        <v>70</v>
      </c>
      <c r="B6" s="38" t="s">
        <v>47</v>
      </c>
      <c r="C6" s="48" t="s">
        <v>59</v>
      </c>
      <c r="D6" s="48" t="s">
        <v>58</v>
      </c>
      <c r="E6" s="48" t="s">
        <v>57</v>
      </c>
    </row>
    <row r="7" spans="1:5" ht="13.5" thickBot="1" x14ac:dyDescent="0.25">
      <c r="A7" s="37">
        <v>1</v>
      </c>
      <c r="B7" s="37">
        <v>3</v>
      </c>
      <c r="C7" s="51">
        <v>2E-3</v>
      </c>
      <c r="D7" s="51">
        <v>-2E-3</v>
      </c>
      <c r="E7" s="51">
        <v>-2E-3</v>
      </c>
    </row>
    <row r="8" spans="1:5" ht="13.5" thickBot="1" x14ac:dyDescent="0.25">
      <c r="A8" s="37">
        <v>2</v>
      </c>
      <c r="B8" s="37">
        <v>7</v>
      </c>
      <c r="C8" s="51">
        <v>0</v>
      </c>
      <c r="D8" s="51">
        <v>-2E-3</v>
      </c>
      <c r="E8" s="51">
        <v>0</v>
      </c>
    </row>
    <row r="9" spans="1:5" ht="13.5" thickBot="1" x14ac:dyDescent="0.25">
      <c r="A9" s="37">
        <v>3</v>
      </c>
      <c r="B9" s="37">
        <v>15</v>
      </c>
      <c r="C9" s="51">
        <v>-2E-3</v>
      </c>
      <c r="D9" s="51">
        <v>-2E-3</v>
      </c>
      <c r="E9" s="51">
        <v>2E-3</v>
      </c>
    </row>
    <row r="11" spans="1:5" x14ac:dyDescent="0.2">
      <c r="A11" s="28" t="s">
        <v>69</v>
      </c>
    </row>
    <row r="12" spans="1:5" x14ac:dyDescent="0.2">
      <c r="A12" s="50" t="s">
        <v>63</v>
      </c>
    </row>
    <row r="13" spans="1:5" x14ac:dyDescent="0.2">
      <c r="A13" s="50" t="s">
        <v>68</v>
      </c>
    </row>
    <row r="15" spans="1:5" x14ac:dyDescent="0.2">
      <c r="A15" s="28" t="s">
        <v>67</v>
      </c>
    </row>
    <row r="16" spans="1:5" x14ac:dyDescent="0.2">
      <c r="A16" s="28" t="s">
        <v>66</v>
      </c>
    </row>
    <row r="17" spans="1:4" x14ac:dyDescent="0.2">
      <c r="A17" s="50" t="s">
        <v>65</v>
      </c>
    </row>
    <row r="19" spans="1:4" x14ac:dyDescent="0.2">
      <c r="A19" s="28" t="s">
        <v>64</v>
      </c>
    </row>
    <row r="20" spans="1:4" x14ac:dyDescent="0.2">
      <c r="A20" s="50" t="s">
        <v>63</v>
      </c>
    </row>
    <row r="21" spans="1:4" x14ac:dyDescent="0.2">
      <c r="A21" s="50" t="s">
        <v>62</v>
      </c>
    </row>
    <row r="23" spans="1:4" ht="13.5" thickBot="1" x14ac:dyDescent="0.25">
      <c r="A23" s="28" t="s">
        <v>61</v>
      </c>
    </row>
    <row r="24" spans="1:4" ht="13.5" thickBot="1" x14ac:dyDescent="0.25">
      <c r="A24" s="49" t="s">
        <v>60</v>
      </c>
      <c r="B24" s="48" t="s">
        <v>59</v>
      </c>
      <c r="C24" s="48" t="s">
        <v>58</v>
      </c>
      <c r="D24" s="48" t="s">
        <v>57</v>
      </c>
    </row>
    <row r="25" spans="1:4" ht="13.5" thickBot="1" x14ac:dyDescent="0.25">
      <c r="A25" s="47" t="s">
        <v>56</v>
      </c>
      <c r="B25" s="46">
        <v>0</v>
      </c>
      <c r="C25" s="46">
        <f>-B8*D8*D3</f>
        <v>1.0372600000000001</v>
      </c>
      <c r="D25" s="46">
        <v>0</v>
      </c>
    </row>
    <row r="26" spans="1:4" ht="13.5" thickBot="1" x14ac:dyDescent="0.25">
      <c r="A26" s="47" t="s">
        <v>55</v>
      </c>
      <c r="B26" s="46">
        <f>-E2*C7*'Q4 Calc (a)(i)'!B13+-E4*C9*'Q4 Calc (a)(i)'!B13</f>
        <v>0.8629199999999998</v>
      </c>
      <c r="C26" s="46">
        <f>-B3*D8*'Q4 Calc (a)(i)'!B13</f>
        <v>3.0507400000000002</v>
      </c>
      <c r="D26" s="46">
        <f>-E2*E7*'Q4 Calc (a)(i)'!B13+-E4*E9*'Q4 Calc (a)(i)'!B13</f>
        <v>-0.8629199999999998</v>
      </c>
    </row>
  </sheetData>
  <pageMargins left="0.7" right="0.7" top="0.75" bottom="0.75" header="0.3" footer="0.3"/>
  <headerFooter>
    <oddFooter>&amp;C_x000D_&amp;1#&amp;"Calibri"&amp;8&amp;K000000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B172-65C3-4000-B887-A5CFBE0735AF}">
  <dimension ref="A1:R70"/>
  <sheetViews>
    <sheetView workbookViewId="0">
      <selection activeCell="L19" sqref="L19"/>
    </sheetView>
  </sheetViews>
  <sheetFormatPr defaultColWidth="8.85546875" defaultRowHeight="15" x14ac:dyDescent="0.25"/>
  <cols>
    <col min="1" max="1" width="53.7109375" style="52" customWidth="1"/>
    <col min="2" max="2" width="13.28515625" style="52" bestFit="1" customWidth="1"/>
    <col min="3" max="3" width="13.7109375" style="52" bestFit="1" customWidth="1"/>
    <col min="4" max="4" width="13.42578125" style="52" customWidth="1"/>
    <col min="5" max="6" width="8.85546875" style="52"/>
    <col min="7" max="7" width="34.140625" style="52" customWidth="1"/>
    <col min="8" max="8" width="15.85546875" style="52" customWidth="1"/>
    <col min="9" max="9" width="13.85546875" style="52" customWidth="1"/>
    <col min="10" max="10" width="13.42578125" style="52" customWidth="1"/>
    <col min="11" max="12" width="9.140625" style="52" customWidth="1"/>
    <col min="13" max="16384" width="8.85546875" style="52"/>
  </cols>
  <sheetData>
    <row r="1" spans="1:5" ht="15.75" x14ac:dyDescent="0.25">
      <c r="A1" s="71" t="s">
        <v>110</v>
      </c>
      <c r="B1" s="73"/>
      <c r="C1" s="73"/>
      <c r="D1" s="73"/>
      <c r="E1" s="73"/>
    </row>
    <row r="2" spans="1:5" ht="15.75" x14ac:dyDescent="0.25">
      <c r="A2" s="73"/>
      <c r="B2" s="73"/>
      <c r="C2" s="73"/>
      <c r="D2" s="73"/>
      <c r="E2" s="73"/>
    </row>
    <row r="3" spans="1:5" ht="15.75" x14ac:dyDescent="0.25">
      <c r="A3" s="82" t="s">
        <v>109</v>
      </c>
      <c r="B3" s="73"/>
      <c r="C3" s="73"/>
      <c r="D3" s="73"/>
      <c r="E3" s="73"/>
    </row>
    <row r="4" spans="1:5" ht="15.75" x14ac:dyDescent="0.25">
      <c r="A4" s="73" t="s">
        <v>108</v>
      </c>
      <c r="B4" s="73"/>
      <c r="C4" s="73"/>
      <c r="D4" s="73"/>
      <c r="E4" s="73"/>
    </row>
    <row r="5" spans="1:5" ht="15.75" x14ac:dyDescent="0.25">
      <c r="A5" s="73" t="s">
        <v>107</v>
      </c>
      <c r="B5" s="73"/>
      <c r="C5" s="73"/>
      <c r="D5" s="73"/>
      <c r="E5" s="73"/>
    </row>
    <row r="6" spans="1:5" ht="15.75" x14ac:dyDescent="0.25">
      <c r="A6" s="73" t="s">
        <v>106</v>
      </c>
      <c r="B6" s="73"/>
      <c r="C6" s="73"/>
      <c r="D6" s="73"/>
      <c r="E6" s="73"/>
    </row>
    <row r="7" spans="1:5" ht="16.5" thickBot="1" x14ac:dyDescent="0.3">
      <c r="A7" s="73"/>
      <c r="B7" s="73"/>
      <c r="C7" s="73"/>
      <c r="D7" s="73"/>
      <c r="E7" s="73"/>
    </row>
    <row r="8" spans="1:5" ht="16.5" thickBot="1" x14ac:dyDescent="0.3">
      <c r="A8" s="81"/>
      <c r="B8" s="80" t="s">
        <v>85</v>
      </c>
      <c r="C8" s="80" t="s">
        <v>84</v>
      </c>
      <c r="D8" s="80" t="s">
        <v>83</v>
      </c>
      <c r="E8" s="73"/>
    </row>
    <row r="9" spans="1:5" ht="16.5" thickBot="1" x14ac:dyDescent="0.3">
      <c r="A9" s="77" t="s">
        <v>105</v>
      </c>
      <c r="B9" s="76">
        <v>4.4999999999999998E-2</v>
      </c>
      <c r="C9" s="76">
        <v>4.7500000000000001E-2</v>
      </c>
      <c r="D9" s="76">
        <v>4.7500000000000001E-2</v>
      </c>
      <c r="E9" s="73"/>
    </row>
    <row r="10" spans="1:5" ht="16.5" thickBot="1" x14ac:dyDescent="0.3">
      <c r="A10" s="77" t="s">
        <v>104</v>
      </c>
      <c r="B10" s="79">
        <v>100000</v>
      </c>
      <c r="C10" s="79">
        <v>100000</v>
      </c>
      <c r="D10" s="79">
        <v>100000</v>
      </c>
      <c r="E10" s="73"/>
    </row>
    <row r="11" spans="1:5" ht="16.5" thickBot="1" x14ac:dyDescent="0.3">
      <c r="A11" s="77" t="s">
        <v>103</v>
      </c>
      <c r="B11" s="79">
        <v>91000</v>
      </c>
      <c r="C11" s="79">
        <v>89000</v>
      </c>
      <c r="D11" s="79">
        <v>88000</v>
      </c>
      <c r="E11" s="73"/>
    </row>
    <row r="12" spans="1:5" ht="16.5" thickBot="1" x14ac:dyDescent="0.3">
      <c r="A12" s="77" t="s">
        <v>102</v>
      </c>
      <c r="B12" s="78">
        <v>5</v>
      </c>
      <c r="C12" s="78">
        <v>6</v>
      </c>
      <c r="D12" s="78">
        <v>8</v>
      </c>
      <c r="E12" s="73"/>
    </row>
    <row r="13" spans="1:5" ht="16.5" thickBot="1" x14ac:dyDescent="0.3">
      <c r="A13" s="77" t="s">
        <v>101</v>
      </c>
      <c r="B13" s="76">
        <v>6.0999999999999999E-2</v>
      </c>
      <c r="C13" s="76">
        <v>6.4000000000000001E-2</v>
      </c>
      <c r="D13" s="76">
        <v>6.3E-2</v>
      </c>
      <c r="E13" s="73"/>
    </row>
    <row r="14" spans="1:5" ht="15.75" x14ac:dyDescent="0.25">
      <c r="A14" s="73"/>
      <c r="B14" s="73"/>
      <c r="C14" s="73"/>
      <c r="D14" s="73"/>
      <c r="E14" s="73"/>
    </row>
    <row r="15" spans="1:5" ht="15.75" x14ac:dyDescent="0.25">
      <c r="A15" s="75" t="s">
        <v>100</v>
      </c>
      <c r="B15" s="73"/>
      <c r="C15" s="73"/>
      <c r="D15" s="73"/>
      <c r="E15" s="73"/>
    </row>
    <row r="16" spans="1:5" ht="15.75" x14ac:dyDescent="0.25">
      <c r="A16" s="75" t="s">
        <v>99</v>
      </c>
      <c r="B16" s="73"/>
      <c r="C16" s="73"/>
      <c r="D16" s="73"/>
      <c r="E16" s="73"/>
    </row>
    <row r="17" spans="1:10" ht="15.75" x14ac:dyDescent="0.25">
      <c r="A17" s="73"/>
      <c r="B17" s="73"/>
      <c r="C17" s="73"/>
      <c r="D17" s="73"/>
      <c r="E17" s="73"/>
    </row>
    <row r="18" spans="1:10" ht="15.75" x14ac:dyDescent="0.25">
      <c r="A18" s="74" t="s">
        <v>98</v>
      </c>
      <c r="B18" s="73"/>
      <c r="C18" s="73"/>
      <c r="D18" s="73"/>
      <c r="E18" s="73"/>
    </row>
    <row r="19" spans="1:10" ht="15.75" x14ac:dyDescent="0.25">
      <c r="A19" s="74" t="s">
        <v>33</v>
      </c>
      <c r="B19" s="73"/>
      <c r="C19" s="73"/>
      <c r="D19" s="73"/>
      <c r="E19" s="73"/>
      <c r="G19" s="53" t="s">
        <v>97</v>
      </c>
      <c r="H19" s="53"/>
      <c r="I19" s="53"/>
      <c r="J19" s="53"/>
    </row>
    <row r="20" spans="1:10" ht="15.75" x14ac:dyDescent="0.25">
      <c r="A20" s="73"/>
      <c r="B20" s="73"/>
      <c r="C20" s="73"/>
      <c r="D20" s="73"/>
      <c r="E20" s="73"/>
      <c r="G20" s="72" t="s">
        <v>96</v>
      </c>
      <c r="H20" s="66">
        <v>0.05</v>
      </c>
    </row>
    <row r="21" spans="1:10" ht="15.75" x14ac:dyDescent="0.25">
      <c r="A21" s="71" t="s">
        <v>95</v>
      </c>
      <c r="B21" s="71"/>
      <c r="C21" s="71"/>
      <c r="D21" s="71"/>
      <c r="E21" s="71"/>
      <c r="G21" s="72"/>
      <c r="H21" s="53" t="s">
        <v>85</v>
      </c>
      <c r="I21" s="53" t="s">
        <v>84</v>
      </c>
      <c r="J21" s="53" t="s">
        <v>83</v>
      </c>
    </row>
    <row r="22" spans="1:10" ht="15.75" x14ac:dyDescent="0.25">
      <c r="A22" s="71" t="s">
        <v>94</v>
      </c>
      <c r="B22" s="71"/>
      <c r="C22" s="71"/>
      <c r="D22" s="71"/>
      <c r="E22" s="71"/>
      <c r="G22" s="68" t="s">
        <v>90</v>
      </c>
      <c r="H22" s="70">
        <f>((B9/2)*$B$10)*(((1+($H$20/2))^4-1)/($H$20/2))</f>
        <v>9343.1601562499782</v>
      </c>
      <c r="I22" s="70">
        <f>((C9/2)*$B$10)*(((1+($H$20/2))^4-1)/($H$20/2))</f>
        <v>9862.2246093749782</v>
      </c>
      <c r="J22" s="70">
        <f>((D9/2)*$B$10)*(((1+($H$20/2))^4-1)/($H$20/2))</f>
        <v>9862.2246093749782</v>
      </c>
    </row>
    <row r="23" spans="1:10" ht="15.75" x14ac:dyDescent="0.25">
      <c r="A23" s="71"/>
      <c r="B23" s="71"/>
      <c r="C23" s="71"/>
      <c r="D23" s="71"/>
      <c r="E23" s="71"/>
      <c r="G23" s="68" t="s">
        <v>89</v>
      </c>
      <c r="H23" s="70">
        <f>PV(B$13/2,B$12*2-4,-B$9/2*B$10,-B10)</f>
        <v>95673.419572171595</v>
      </c>
      <c r="I23" s="70">
        <f>PV(C$13/2,C$12*2-4,-C$9/2*C$10,-C10)</f>
        <v>94257.304583829129</v>
      </c>
      <c r="J23" s="70">
        <f>PV(D$13/2,D$12*2-4,-D$9/2*D$10,-D10)</f>
        <v>92354.268204931825</v>
      </c>
    </row>
    <row r="24" spans="1:10" ht="15.75" x14ac:dyDescent="0.25">
      <c r="A24" s="71" t="s">
        <v>93</v>
      </c>
      <c r="B24" s="71"/>
      <c r="C24" s="71"/>
      <c r="D24" s="71"/>
      <c r="E24" s="71"/>
      <c r="G24" s="68" t="s">
        <v>88</v>
      </c>
      <c r="H24" s="69">
        <f>H22+H23</f>
        <v>105016.57972842158</v>
      </c>
      <c r="I24" s="69">
        <f>I22+I23</f>
        <v>104119.5291932041</v>
      </c>
      <c r="J24" s="69">
        <f>J22+J23</f>
        <v>102216.49281430681</v>
      </c>
    </row>
    <row r="25" spans="1:10" ht="16.5" thickBot="1" x14ac:dyDescent="0.3">
      <c r="A25" s="71" t="s">
        <v>92</v>
      </c>
      <c r="B25" s="71"/>
      <c r="C25" s="71"/>
      <c r="D25" s="71"/>
      <c r="E25" s="71"/>
      <c r="G25" s="68" t="s">
        <v>87</v>
      </c>
      <c r="H25" s="65">
        <f>(H24/B11)^(1/4)-1</f>
        <v>3.6463754688974559E-2</v>
      </c>
      <c r="I25" s="65">
        <f>(I24/C11)^(1/4)-1</f>
        <v>4.0005287373410026E-2</v>
      </c>
      <c r="J25" s="65">
        <f>(J24/D11)^(1/4)-1</f>
        <v>3.8148727282554251E-2</v>
      </c>
    </row>
    <row r="26" spans="1:10" ht="16.5" thickBot="1" x14ac:dyDescent="0.3">
      <c r="A26" s="71"/>
      <c r="B26" s="71"/>
      <c r="C26" s="71"/>
      <c r="D26" s="71"/>
      <c r="E26" s="71"/>
      <c r="G26" s="68" t="s">
        <v>86</v>
      </c>
      <c r="H26" s="67">
        <f>H25*2</f>
        <v>7.2927509377949118E-2</v>
      </c>
      <c r="I26" s="67">
        <f>I25*2</f>
        <v>8.0010574746820051E-2</v>
      </c>
      <c r="J26" s="67">
        <f>J25*2</f>
        <v>7.6297454565108502E-2</v>
      </c>
    </row>
    <row r="29" spans="1:10" x14ac:dyDescent="0.25">
      <c r="G29" s="53" t="s">
        <v>91</v>
      </c>
      <c r="H29" s="66">
        <v>0.05</v>
      </c>
    </row>
    <row r="30" spans="1:10" x14ac:dyDescent="0.25">
      <c r="H30" s="53" t="s">
        <v>85</v>
      </c>
      <c r="I30" s="53" t="s">
        <v>84</v>
      </c>
      <c r="J30" s="53" t="s">
        <v>83</v>
      </c>
    </row>
    <row r="31" spans="1:10" x14ac:dyDescent="0.25">
      <c r="G31" s="68" t="s">
        <v>90</v>
      </c>
      <c r="H31" s="70">
        <f>SUM(K40:K43)</f>
        <v>9343.16015625</v>
      </c>
      <c r="I31" s="70">
        <f>SUM(N40:N43)</f>
        <v>9862.224609375</v>
      </c>
      <c r="J31" s="70">
        <f>SUM(Q40:Q43)</f>
        <v>9862.224609375</v>
      </c>
    </row>
    <row r="32" spans="1:10" x14ac:dyDescent="0.25">
      <c r="G32" s="68" t="s">
        <v>89</v>
      </c>
      <c r="H32" s="70">
        <f>SUM(L44:L59)</f>
        <v>95673.41957217161</v>
      </c>
      <c r="I32" s="70">
        <f>SUM(O44:O59)</f>
        <v>94257.304583829129</v>
      </c>
      <c r="J32" s="70">
        <f>SUM(R44:R59)</f>
        <v>92354.268204931795</v>
      </c>
    </row>
    <row r="33" spans="7:18" x14ac:dyDescent="0.25">
      <c r="G33" s="68" t="s">
        <v>88</v>
      </c>
      <c r="H33" s="69">
        <f>SUM(K40:L59)</f>
        <v>105016.57972842161</v>
      </c>
      <c r="I33" s="69">
        <f>SUM(N40:O59)</f>
        <v>104119.52919320413</v>
      </c>
      <c r="J33" s="69">
        <f>SUM(Q40:R59)</f>
        <v>102216.4928143068</v>
      </c>
    </row>
    <row r="34" spans="7:18" ht="15.75" thickBot="1" x14ac:dyDescent="0.3">
      <c r="G34" s="68" t="s">
        <v>87</v>
      </c>
      <c r="H34" s="65">
        <f>(H33/B11)^(1/4)-1</f>
        <v>3.6463754688974781E-2</v>
      </c>
      <c r="I34" s="65">
        <f>(I33/C11)^(1/4)-1</f>
        <v>4.0005287373410026E-2</v>
      </c>
      <c r="J34" s="65">
        <f>(J33/D11)^(1/4)-1</f>
        <v>3.8148727282554251E-2</v>
      </c>
    </row>
    <row r="35" spans="7:18" ht="15.75" thickBot="1" x14ac:dyDescent="0.3">
      <c r="G35" s="68" t="s">
        <v>86</v>
      </c>
      <c r="H35" s="67">
        <f>H34*2</f>
        <v>7.2927509377949562E-2</v>
      </c>
      <c r="I35" s="67">
        <f>I34*2</f>
        <v>8.0010574746820051E-2</v>
      </c>
      <c r="J35" s="67">
        <f>J34*2</f>
        <v>7.6297454565108502E-2</v>
      </c>
    </row>
    <row r="37" spans="7:18" ht="15.75" thickBot="1" x14ac:dyDescent="0.3">
      <c r="K37" s="66">
        <v>0.05</v>
      </c>
      <c r="L37" s="65">
        <f>B13</f>
        <v>6.0999999999999999E-2</v>
      </c>
      <c r="N37" s="66">
        <v>0.05</v>
      </c>
      <c r="O37" s="65">
        <f>C13</f>
        <v>6.4000000000000001E-2</v>
      </c>
      <c r="Q37" s="66">
        <v>0.05</v>
      </c>
      <c r="R37" s="65">
        <f>D13</f>
        <v>6.3E-2</v>
      </c>
    </row>
    <row r="38" spans="7:18" ht="15.75" thickBot="1" x14ac:dyDescent="0.3">
      <c r="J38" s="107" t="s">
        <v>85</v>
      </c>
      <c r="K38" s="108"/>
      <c r="L38" s="109"/>
      <c r="M38" s="107" t="s">
        <v>84</v>
      </c>
      <c r="N38" s="108"/>
      <c r="O38" s="109"/>
      <c r="P38" s="108" t="s">
        <v>83</v>
      </c>
      <c r="Q38" s="108"/>
      <c r="R38" s="109"/>
    </row>
    <row r="39" spans="7:18" x14ac:dyDescent="0.25">
      <c r="H39" s="52" t="s">
        <v>82</v>
      </c>
      <c r="I39" s="52" t="s">
        <v>81</v>
      </c>
      <c r="J39" s="58" t="s">
        <v>80</v>
      </c>
      <c r="K39" s="52" t="s">
        <v>79</v>
      </c>
      <c r="L39" s="57" t="s">
        <v>78</v>
      </c>
      <c r="M39" s="58" t="s">
        <v>80</v>
      </c>
      <c r="N39" s="52" t="s">
        <v>79</v>
      </c>
      <c r="O39" s="57" t="s">
        <v>78</v>
      </c>
      <c r="P39" s="58" t="s">
        <v>80</v>
      </c>
      <c r="Q39" s="52" t="s">
        <v>79</v>
      </c>
      <c r="R39" s="57" t="s">
        <v>78</v>
      </c>
    </row>
    <row r="40" spans="7:18" x14ac:dyDescent="0.25">
      <c r="H40" s="52">
        <v>0.5</v>
      </c>
      <c r="I40" s="52">
        <f t="shared" ref="I40:I59" si="0">H40*2</f>
        <v>1</v>
      </c>
      <c r="J40" s="58">
        <f t="shared" ref="J40:J48" si="1">$B$10*$B$9/2</f>
        <v>2250</v>
      </c>
      <c r="K40" s="61">
        <f>J40*(1+$K$37/2)^(4-I40)</f>
        <v>2423.0039062499995</v>
      </c>
      <c r="L40" s="57"/>
      <c r="M40" s="58">
        <f t="shared" ref="M40:M50" si="2">$C$10*$C$9/2</f>
        <v>2375</v>
      </c>
      <c r="N40" s="61">
        <f>M40*(1+$N$37/2)^(4-I40)</f>
        <v>2557.6152343749995</v>
      </c>
      <c r="O40" s="57"/>
      <c r="P40" s="58">
        <f t="shared" ref="P40:P54" si="3">$D$10*$D$9/2</f>
        <v>2375</v>
      </c>
      <c r="Q40" s="61">
        <f>P40*(1+$Q$37/2)^(4-I40)</f>
        <v>2557.6152343749995</v>
      </c>
      <c r="R40" s="57"/>
    </row>
    <row r="41" spans="7:18" x14ac:dyDescent="0.25">
      <c r="H41" s="52">
        <f t="shared" ref="H41:H59" si="4">H40+0.5</f>
        <v>1</v>
      </c>
      <c r="I41" s="52">
        <f t="shared" si="0"/>
        <v>2</v>
      </c>
      <c r="J41" s="58">
        <f t="shared" si="1"/>
        <v>2250</v>
      </c>
      <c r="K41" s="61">
        <f>J41*(1+$K$37/2)^(4-I41)</f>
        <v>2363.90625</v>
      </c>
      <c r="L41" s="57"/>
      <c r="M41" s="58">
        <f t="shared" si="2"/>
        <v>2375</v>
      </c>
      <c r="N41" s="61">
        <f>M41*(1+$N$37/2)^(4-I41)</f>
        <v>2495.234375</v>
      </c>
      <c r="O41" s="57"/>
      <c r="P41" s="58">
        <f t="shared" si="3"/>
        <v>2375</v>
      </c>
      <c r="Q41" s="61">
        <f>P41*(1+$Q$37/2)^(4-I41)</f>
        <v>2495.234375</v>
      </c>
      <c r="R41" s="57"/>
    </row>
    <row r="42" spans="7:18" x14ac:dyDescent="0.25">
      <c r="H42" s="52">
        <f t="shared" si="4"/>
        <v>1.5</v>
      </c>
      <c r="I42" s="52">
        <f t="shared" si="0"/>
        <v>3</v>
      </c>
      <c r="J42" s="58">
        <f t="shared" si="1"/>
        <v>2250</v>
      </c>
      <c r="K42" s="61">
        <f>J42*(1+$K$37/2)^(4-I42)</f>
        <v>2306.25</v>
      </c>
      <c r="L42" s="57"/>
      <c r="M42" s="58">
        <f t="shared" si="2"/>
        <v>2375</v>
      </c>
      <c r="N42" s="61">
        <f>M42*(1+$N$37/2)^(4-I42)</f>
        <v>2434.375</v>
      </c>
      <c r="O42" s="57"/>
      <c r="P42" s="58">
        <f t="shared" si="3"/>
        <v>2375</v>
      </c>
      <c r="Q42" s="61">
        <f>P42*(1+$Q$37/2)^(4-I42)</f>
        <v>2434.375</v>
      </c>
      <c r="R42" s="57"/>
    </row>
    <row r="43" spans="7:18" ht="15.75" thickBot="1" x14ac:dyDescent="0.3">
      <c r="H43" s="52">
        <f t="shared" si="4"/>
        <v>2</v>
      </c>
      <c r="I43" s="52">
        <f t="shared" si="0"/>
        <v>4</v>
      </c>
      <c r="J43" s="58">
        <f t="shared" si="1"/>
        <v>2250</v>
      </c>
      <c r="K43" s="60">
        <f>J43*(1+$K$37/2)^(4-I43)</f>
        <v>2250</v>
      </c>
      <c r="L43" s="54"/>
      <c r="M43" s="58">
        <f t="shared" si="2"/>
        <v>2375</v>
      </c>
      <c r="N43" s="60">
        <f>M43*(1+$N$37/2)^(4-I43)</f>
        <v>2375</v>
      </c>
      <c r="O43" s="54"/>
      <c r="P43" s="58">
        <f t="shared" si="3"/>
        <v>2375</v>
      </c>
      <c r="Q43" s="60">
        <f>P43*(1+$Q$37/2)^(4-I43)</f>
        <v>2375</v>
      </c>
      <c r="R43" s="54"/>
    </row>
    <row r="44" spans="7:18" x14ac:dyDescent="0.25">
      <c r="H44" s="52">
        <f t="shared" si="4"/>
        <v>2.5</v>
      </c>
      <c r="I44" s="52">
        <f t="shared" si="0"/>
        <v>5</v>
      </c>
      <c r="J44" s="58">
        <f t="shared" si="1"/>
        <v>2250</v>
      </c>
      <c r="L44" s="59">
        <f t="shared" ref="L44:L49" si="5">J44/(1+$L$37/2)^($I44-$I$43)</f>
        <v>2183.406113537118</v>
      </c>
      <c r="M44" s="58">
        <f t="shared" si="2"/>
        <v>2375</v>
      </c>
      <c r="O44" s="59">
        <f t="shared" ref="O44:O51" si="6">M44/(1+$O$37/2)^($I44-$I$43)</f>
        <v>2301.3565891472867</v>
      </c>
      <c r="P44" s="58">
        <f t="shared" si="3"/>
        <v>2375</v>
      </c>
      <c r="R44" s="59">
        <f t="shared" ref="R44:R55" si="7">P44/(1+$R$37/2)^($I44-$I$43)</f>
        <v>2302.472127968977</v>
      </c>
    </row>
    <row r="45" spans="7:18" x14ac:dyDescent="0.25">
      <c r="H45" s="52">
        <f t="shared" si="4"/>
        <v>3</v>
      </c>
      <c r="I45" s="52">
        <f t="shared" si="0"/>
        <v>6</v>
      </c>
      <c r="J45" s="58">
        <f t="shared" si="1"/>
        <v>2250</v>
      </c>
      <c r="L45" s="59">
        <f t="shared" si="5"/>
        <v>2118.7832251694499</v>
      </c>
      <c r="M45" s="58">
        <f t="shared" si="2"/>
        <v>2375</v>
      </c>
      <c r="O45" s="59">
        <f t="shared" si="6"/>
        <v>2229.9966949101618</v>
      </c>
      <c r="P45" s="58">
        <f t="shared" si="3"/>
        <v>2375</v>
      </c>
      <c r="R45" s="59">
        <f t="shared" si="7"/>
        <v>2232.1591158206274</v>
      </c>
    </row>
    <row r="46" spans="7:18" x14ac:dyDescent="0.25">
      <c r="H46" s="52">
        <f t="shared" si="4"/>
        <v>3.5</v>
      </c>
      <c r="I46" s="52">
        <f t="shared" si="0"/>
        <v>7</v>
      </c>
      <c r="J46" s="58">
        <f t="shared" si="1"/>
        <v>2250</v>
      </c>
      <c r="L46" s="59">
        <f t="shared" si="5"/>
        <v>2056.0729987088307</v>
      </c>
      <c r="M46" s="58">
        <f t="shared" si="2"/>
        <v>2375</v>
      </c>
      <c r="O46" s="59">
        <f t="shared" si="6"/>
        <v>2160.8495105718621</v>
      </c>
      <c r="P46" s="58">
        <f t="shared" si="3"/>
        <v>2375</v>
      </c>
      <c r="R46" s="59">
        <f t="shared" si="7"/>
        <v>2163.9933260500507</v>
      </c>
    </row>
    <row r="47" spans="7:18" x14ac:dyDescent="0.25">
      <c r="H47" s="52">
        <f t="shared" si="4"/>
        <v>4</v>
      </c>
      <c r="I47" s="52">
        <f t="shared" si="0"/>
        <v>8</v>
      </c>
      <c r="J47" s="58">
        <f t="shared" si="1"/>
        <v>2250</v>
      </c>
      <c r="L47" s="59">
        <f t="shared" si="5"/>
        <v>1995.2188245597581</v>
      </c>
      <c r="M47" s="58">
        <f t="shared" si="2"/>
        <v>2375</v>
      </c>
      <c r="O47" s="59">
        <f t="shared" si="6"/>
        <v>2093.8464249727349</v>
      </c>
      <c r="P47" s="58">
        <f t="shared" si="3"/>
        <v>2375</v>
      </c>
      <c r="R47" s="59">
        <f t="shared" si="7"/>
        <v>2097.9091866699468</v>
      </c>
    </row>
    <row r="48" spans="7:18" x14ac:dyDescent="0.25">
      <c r="H48" s="52">
        <f t="shared" si="4"/>
        <v>4.5</v>
      </c>
      <c r="I48" s="52">
        <f t="shared" si="0"/>
        <v>9</v>
      </c>
      <c r="J48" s="58">
        <f t="shared" si="1"/>
        <v>2250</v>
      </c>
      <c r="L48" s="59">
        <f t="shared" si="5"/>
        <v>1936.1657686169415</v>
      </c>
      <c r="M48" s="58">
        <f t="shared" si="2"/>
        <v>2375</v>
      </c>
      <c r="O48" s="59">
        <f t="shared" si="6"/>
        <v>2028.9209544309442</v>
      </c>
      <c r="P48" s="58">
        <f t="shared" si="3"/>
        <v>2375</v>
      </c>
      <c r="R48" s="59">
        <f t="shared" si="7"/>
        <v>2033.8431281337344</v>
      </c>
    </row>
    <row r="49" spans="7:18" x14ac:dyDescent="0.25">
      <c r="H49" s="52">
        <f t="shared" si="4"/>
        <v>5</v>
      </c>
      <c r="I49" s="52">
        <f t="shared" si="0"/>
        <v>10</v>
      </c>
      <c r="J49" s="58">
        <f>B$10*$B$9/2+B$10</f>
        <v>102250</v>
      </c>
      <c r="L49" s="59">
        <f t="shared" si="5"/>
        <v>85383.772641579519</v>
      </c>
      <c r="M49" s="58">
        <f t="shared" si="2"/>
        <v>2375</v>
      </c>
      <c r="O49" s="59">
        <f t="shared" si="6"/>
        <v>1966.0086767741711</v>
      </c>
      <c r="P49" s="58">
        <f t="shared" si="3"/>
        <v>2375</v>
      </c>
      <c r="R49" s="59">
        <f t="shared" si="7"/>
        <v>1971.7335221849094</v>
      </c>
    </row>
    <row r="50" spans="7:18" x14ac:dyDescent="0.25">
      <c r="H50" s="52">
        <f t="shared" si="4"/>
        <v>5.5</v>
      </c>
      <c r="I50" s="52">
        <f t="shared" si="0"/>
        <v>11</v>
      </c>
      <c r="J50" s="58"/>
      <c r="L50" s="57"/>
      <c r="M50" s="58">
        <f t="shared" si="2"/>
        <v>2375</v>
      </c>
      <c r="O50" s="59">
        <f t="shared" si="6"/>
        <v>1905.0471674168327</v>
      </c>
      <c r="P50" s="58">
        <f t="shared" si="3"/>
        <v>2375</v>
      </c>
      <c r="R50" s="59">
        <f t="shared" si="7"/>
        <v>1911.5206225738336</v>
      </c>
    </row>
    <row r="51" spans="7:18" x14ac:dyDescent="0.25">
      <c r="H51" s="52">
        <f t="shared" si="4"/>
        <v>6</v>
      </c>
      <c r="I51" s="52">
        <f t="shared" si="0"/>
        <v>12</v>
      </c>
      <c r="J51" s="58"/>
      <c r="L51" s="57"/>
      <c r="M51" s="58">
        <f>$C$10*$C$9/2+C10</f>
        <v>102375</v>
      </c>
      <c r="O51" s="59">
        <f t="shared" si="6"/>
        <v>79571.278565605142</v>
      </c>
      <c r="P51" s="58">
        <f t="shared" si="3"/>
        <v>2375</v>
      </c>
      <c r="R51" s="59">
        <f t="shared" si="7"/>
        <v>1853.1465075849089</v>
      </c>
    </row>
    <row r="52" spans="7:18" x14ac:dyDescent="0.25">
      <c r="H52" s="52">
        <f t="shared" si="4"/>
        <v>6.5</v>
      </c>
      <c r="I52" s="52">
        <f t="shared" si="0"/>
        <v>13</v>
      </c>
      <c r="J52" s="58"/>
      <c r="L52" s="57"/>
      <c r="M52" s="58"/>
      <c r="O52" s="57"/>
      <c r="P52" s="58">
        <f t="shared" si="3"/>
        <v>2375</v>
      </c>
      <c r="R52" s="59">
        <f t="shared" si="7"/>
        <v>1796.5550243188648</v>
      </c>
    </row>
    <row r="53" spans="7:18" x14ac:dyDescent="0.25">
      <c r="H53" s="52">
        <f t="shared" si="4"/>
        <v>7</v>
      </c>
      <c r="I53" s="52">
        <f t="shared" si="0"/>
        <v>14</v>
      </c>
      <c r="J53" s="58"/>
      <c r="L53" s="57"/>
      <c r="M53" s="58"/>
      <c r="O53" s="57"/>
      <c r="P53" s="58">
        <f t="shared" si="3"/>
        <v>2375</v>
      </c>
      <c r="R53" s="59">
        <f t="shared" si="7"/>
        <v>1741.6917346765533</v>
      </c>
    </row>
    <row r="54" spans="7:18" x14ac:dyDescent="0.25">
      <c r="H54" s="52">
        <f t="shared" si="4"/>
        <v>7.5</v>
      </c>
      <c r="I54" s="52">
        <f t="shared" si="0"/>
        <v>15</v>
      </c>
      <c r="J54" s="58"/>
      <c r="L54" s="57"/>
      <c r="M54" s="58"/>
      <c r="O54" s="57"/>
      <c r="P54" s="58">
        <f t="shared" si="3"/>
        <v>2375</v>
      </c>
      <c r="R54" s="59">
        <f t="shared" si="7"/>
        <v>1688.5038629922956</v>
      </c>
    </row>
    <row r="55" spans="7:18" x14ac:dyDescent="0.25">
      <c r="H55" s="52">
        <f t="shared" si="4"/>
        <v>8</v>
      </c>
      <c r="I55" s="52">
        <f t="shared" si="0"/>
        <v>16</v>
      </c>
      <c r="J55" s="58"/>
      <c r="L55" s="57"/>
      <c r="M55" s="58"/>
      <c r="O55" s="57"/>
      <c r="P55" s="58">
        <f>$D$10*$D$9/2+D10</f>
        <v>102375</v>
      </c>
      <c r="R55" s="59">
        <f t="shared" si="7"/>
        <v>70560.740045957093</v>
      </c>
    </row>
    <row r="56" spans="7:18" x14ac:dyDescent="0.25">
      <c r="H56" s="52">
        <f t="shared" si="4"/>
        <v>8.5</v>
      </c>
      <c r="I56" s="52">
        <f t="shared" si="0"/>
        <v>17</v>
      </c>
      <c r="J56" s="58"/>
      <c r="L56" s="57"/>
      <c r="M56" s="58"/>
      <c r="O56" s="57"/>
      <c r="P56" s="58"/>
      <c r="R56" s="57"/>
    </row>
    <row r="57" spans="7:18" x14ac:dyDescent="0.25">
      <c r="H57" s="52">
        <f t="shared" si="4"/>
        <v>9</v>
      </c>
      <c r="I57" s="52">
        <f t="shared" si="0"/>
        <v>18</v>
      </c>
      <c r="J57" s="58"/>
      <c r="L57" s="57"/>
      <c r="M57" s="58"/>
      <c r="O57" s="57"/>
      <c r="P57" s="58"/>
      <c r="R57" s="57"/>
    </row>
    <row r="58" spans="7:18" x14ac:dyDescent="0.25">
      <c r="H58" s="52">
        <f t="shared" si="4"/>
        <v>9.5</v>
      </c>
      <c r="I58" s="52">
        <f t="shared" si="0"/>
        <v>19</v>
      </c>
      <c r="J58" s="58"/>
      <c r="L58" s="57"/>
      <c r="M58" s="58"/>
      <c r="O58" s="57"/>
      <c r="P58" s="58"/>
      <c r="R58" s="57"/>
    </row>
    <row r="59" spans="7:18" ht="15.75" thickBot="1" x14ac:dyDescent="0.3">
      <c r="H59" s="52">
        <f t="shared" si="4"/>
        <v>10</v>
      </c>
      <c r="I59" s="52">
        <f t="shared" si="0"/>
        <v>20</v>
      </c>
      <c r="J59" s="56"/>
      <c r="K59" s="55"/>
      <c r="L59" s="54"/>
      <c r="M59" s="56"/>
      <c r="N59" s="55"/>
      <c r="O59" s="54"/>
      <c r="P59" s="56"/>
      <c r="Q59" s="55"/>
      <c r="R59" s="54"/>
    </row>
    <row r="64" spans="7:18" x14ac:dyDescent="0.25">
      <c r="G64" s="53" t="s">
        <v>77</v>
      </c>
    </row>
    <row r="65" spans="7:7" x14ac:dyDescent="0.25">
      <c r="G65" s="52" t="s">
        <v>76</v>
      </c>
    </row>
    <row r="67" spans="7:7" x14ac:dyDescent="0.25">
      <c r="G67" s="53" t="s">
        <v>75</v>
      </c>
    </row>
    <row r="68" spans="7:7" x14ac:dyDescent="0.25">
      <c r="G68" s="52" t="s">
        <v>74</v>
      </c>
    </row>
    <row r="69" spans="7:7" x14ac:dyDescent="0.25">
      <c r="G69" s="52" t="s">
        <v>73</v>
      </c>
    </row>
    <row r="70" spans="7:7" x14ac:dyDescent="0.25">
      <c r="G70" s="52" t="s">
        <v>72</v>
      </c>
    </row>
  </sheetData>
  <mergeCells count="3">
    <mergeCell ref="J38:L38"/>
    <mergeCell ref="M38:O38"/>
    <mergeCell ref="P38:R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AB01B-73FE-4624-BC8E-2AFEFB5AA42A}">
  <dimension ref="A1:N44"/>
  <sheetViews>
    <sheetView tabSelected="1" workbookViewId="0">
      <selection activeCell="A37" sqref="A37"/>
    </sheetView>
  </sheetViews>
  <sheetFormatPr defaultColWidth="8.85546875" defaultRowHeight="15" x14ac:dyDescent="0.25"/>
  <cols>
    <col min="1" max="1" width="26.28515625" style="52" customWidth="1"/>
    <col min="2" max="2" width="10.5703125" style="52" customWidth="1"/>
    <col min="3" max="5" width="8.85546875" style="52"/>
    <col min="6" max="6" width="12.42578125" style="52" bestFit="1" customWidth="1"/>
    <col min="7" max="7" width="32.85546875" style="52" customWidth="1"/>
    <col min="8" max="8" width="12.42578125" style="52" customWidth="1"/>
    <col min="9" max="9" width="13.85546875" style="52" customWidth="1"/>
    <col min="10" max="10" width="10.7109375" style="52" customWidth="1"/>
    <col min="11" max="11" width="8.85546875" style="52"/>
    <col min="12" max="12" width="10.85546875" style="52" customWidth="1"/>
    <col min="13" max="13" width="13.42578125" style="52" customWidth="1"/>
    <col min="14" max="14" width="21" style="52" customWidth="1"/>
    <col min="15" max="16384" width="8.85546875" style="52"/>
  </cols>
  <sheetData>
    <row r="1" spans="1:14" ht="15.75" x14ac:dyDescent="0.25">
      <c r="A1" s="71" t="s">
        <v>135</v>
      </c>
      <c r="B1" s="73"/>
      <c r="C1" s="73"/>
      <c r="D1" s="73"/>
      <c r="E1" s="73"/>
      <c r="F1" s="73"/>
    </row>
    <row r="2" spans="1:14" ht="15.75" x14ac:dyDescent="0.25">
      <c r="A2" s="73"/>
      <c r="B2" s="73"/>
      <c r="C2" s="73"/>
      <c r="D2" s="73"/>
      <c r="E2" s="73"/>
      <c r="F2" s="73"/>
    </row>
    <row r="3" spans="1:14" ht="15.75" x14ac:dyDescent="0.25">
      <c r="A3" s="82" t="s">
        <v>134</v>
      </c>
      <c r="B3" s="73"/>
      <c r="C3" s="73"/>
      <c r="D3" s="73"/>
      <c r="E3" s="73"/>
      <c r="F3" s="73"/>
    </row>
    <row r="4" spans="1:14" ht="16.5" thickBot="1" x14ac:dyDescent="0.3">
      <c r="A4" s="73"/>
      <c r="B4" s="73"/>
      <c r="C4" s="73"/>
      <c r="D4" s="73"/>
      <c r="E4" s="73"/>
      <c r="F4" s="73"/>
    </row>
    <row r="5" spans="1:14" ht="16.5" thickBot="1" x14ac:dyDescent="0.3">
      <c r="A5" s="106" t="s">
        <v>133</v>
      </c>
      <c r="B5" s="105" t="s">
        <v>132</v>
      </c>
      <c r="C5" s="73"/>
      <c r="D5" s="73"/>
      <c r="E5" s="73"/>
      <c r="F5" s="73"/>
    </row>
    <row r="6" spans="1:14" ht="16.5" thickBot="1" x14ac:dyDescent="0.3">
      <c r="A6" s="103" t="s">
        <v>105</v>
      </c>
      <c r="B6" s="104">
        <v>6.5000000000000002E-2</v>
      </c>
      <c r="C6" s="73"/>
      <c r="D6" s="73"/>
      <c r="E6" s="73"/>
      <c r="F6" s="73"/>
    </row>
    <row r="7" spans="1:14" ht="16.5" thickBot="1" x14ac:dyDescent="0.3">
      <c r="A7" s="103" t="s">
        <v>104</v>
      </c>
      <c r="B7" s="102">
        <v>1000000</v>
      </c>
      <c r="C7" s="73"/>
      <c r="D7" s="73"/>
      <c r="E7" s="73"/>
      <c r="F7" s="73"/>
    </row>
    <row r="8" spans="1:14" ht="16.5" thickBot="1" x14ac:dyDescent="0.3">
      <c r="A8" s="103" t="s">
        <v>131</v>
      </c>
      <c r="B8" s="102">
        <v>1000000</v>
      </c>
      <c r="C8" s="73"/>
      <c r="D8" s="73"/>
      <c r="E8" s="73"/>
      <c r="F8" s="73"/>
    </row>
    <row r="9" spans="1:14" ht="15.75" x14ac:dyDescent="0.25">
      <c r="A9" s="73"/>
      <c r="B9" s="73"/>
      <c r="C9" s="73"/>
      <c r="D9" s="73"/>
      <c r="E9" s="73"/>
      <c r="F9" s="73"/>
    </row>
    <row r="10" spans="1:14" ht="15.75" x14ac:dyDescent="0.25">
      <c r="A10" s="74" t="s">
        <v>130</v>
      </c>
      <c r="B10" s="73"/>
      <c r="C10" s="73"/>
      <c r="D10" s="73"/>
      <c r="E10" s="73"/>
      <c r="F10" s="73"/>
    </row>
    <row r="11" spans="1:14" ht="15.75" x14ac:dyDescent="0.25">
      <c r="A11" s="74"/>
      <c r="B11" s="73"/>
      <c r="C11" s="73"/>
      <c r="D11" s="73"/>
      <c r="E11" s="73"/>
      <c r="F11" s="73"/>
    </row>
    <row r="12" spans="1:14" ht="16.5" thickBot="1" x14ac:dyDescent="0.3">
      <c r="A12" s="74" t="s">
        <v>129</v>
      </c>
      <c r="B12" s="73"/>
      <c r="C12" s="73"/>
      <c r="D12" s="73"/>
      <c r="E12" s="73"/>
      <c r="F12" s="73"/>
    </row>
    <row r="13" spans="1:14" ht="16.5" thickBot="1" x14ac:dyDescent="0.3">
      <c r="A13" s="74"/>
      <c r="B13" s="73"/>
      <c r="C13" s="73"/>
      <c r="D13" s="73"/>
      <c r="E13" s="73"/>
      <c r="F13" s="73"/>
      <c r="H13" s="64" t="s">
        <v>47</v>
      </c>
      <c r="I13" s="63" t="s">
        <v>128</v>
      </c>
      <c r="J13" s="63" t="s">
        <v>80</v>
      </c>
      <c r="K13" s="63" t="s">
        <v>127</v>
      </c>
      <c r="L13" s="63" t="s">
        <v>126</v>
      </c>
      <c r="M13" s="63" t="s">
        <v>125</v>
      </c>
      <c r="N13" s="62" t="s">
        <v>124</v>
      </c>
    </row>
    <row r="14" spans="1:14" ht="15.75" x14ac:dyDescent="0.25">
      <c r="A14" s="74" t="s">
        <v>123</v>
      </c>
      <c r="B14" s="73"/>
      <c r="C14" s="73"/>
      <c r="D14" s="73"/>
      <c r="E14" s="73"/>
      <c r="F14" s="73"/>
      <c r="H14" s="101">
        <v>1</v>
      </c>
      <c r="I14" s="99">
        <f t="shared" ref="I14:I28" si="0">H14+1</f>
        <v>2</v>
      </c>
      <c r="J14" s="99">
        <f t="shared" ref="J14:J27" si="1">$B$7*$B$6</f>
        <v>65000</v>
      </c>
      <c r="K14" s="100">
        <f t="shared" ref="K14:K28" si="2">(1/(1+$B$6)^H14)</f>
        <v>0.93896713615023475</v>
      </c>
      <c r="L14" s="99">
        <f t="shared" ref="L14:L28" si="3">J14*K14</f>
        <v>61032.863849765257</v>
      </c>
      <c r="M14" s="99">
        <f t="shared" ref="M14:M28" si="4">H14*L14</f>
        <v>61032.863849765257</v>
      </c>
      <c r="N14" s="98">
        <f t="shared" ref="N14:N28" si="5">H14*I14*J14*$K$14^(H14+2)</f>
        <v>107620.38193438738</v>
      </c>
    </row>
    <row r="15" spans="1:14" ht="15.75" x14ac:dyDescent="0.25">
      <c r="A15" s="71" t="s">
        <v>122</v>
      </c>
      <c r="B15" s="73"/>
      <c r="C15" s="73"/>
      <c r="D15" s="73"/>
      <c r="E15" s="73"/>
      <c r="F15" s="73"/>
      <c r="H15" s="97">
        <f t="shared" ref="H15:H28" si="6">H14+1</f>
        <v>2</v>
      </c>
      <c r="I15" s="96">
        <f t="shared" si="0"/>
        <v>3</v>
      </c>
      <c r="J15" s="96">
        <f t="shared" si="1"/>
        <v>65000</v>
      </c>
      <c r="K15" s="87">
        <f t="shared" si="2"/>
        <v>0.88165928277017358</v>
      </c>
      <c r="L15" s="96">
        <f t="shared" si="3"/>
        <v>57307.853380061286</v>
      </c>
      <c r="M15" s="96">
        <f t="shared" si="4"/>
        <v>114615.70676012257</v>
      </c>
      <c r="N15" s="95">
        <f t="shared" si="5"/>
        <v>303156.00544897851</v>
      </c>
    </row>
    <row r="16" spans="1:14" ht="15.75" x14ac:dyDescent="0.25">
      <c r="A16" s="71"/>
      <c r="B16" s="73"/>
      <c r="C16" s="73"/>
      <c r="D16" s="73"/>
      <c r="E16" s="73"/>
      <c r="F16" s="73"/>
      <c r="H16" s="97">
        <f t="shared" si="6"/>
        <v>3</v>
      </c>
      <c r="I16" s="96">
        <f t="shared" si="0"/>
        <v>4</v>
      </c>
      <c r="J16" s="96">
        <f t="shared" si="1"/>
        <v>65000</v>
      </c>
      <c r="K16" s="87">
        <f t="shared" si="2"/>
        <v>0.82784909180297994</v>
      </c>
      <c r="L16" s="96">
        <f t="shared" si="3"/>
        <v>53810.190967193696</v>
      </c>
      <c r="M16" s="96">
        <f t="shared" si="4"/>
        <v>161430.57290158109</v>
      </c>
      <c r="N16" s="95">
        <f t="shared" si="5"/>
        <v>569307.05248634459</v>
      </c>
    </row>
    <row r="17" spans="1:14" ht="15.75" x14ac:dyDescent="0.25">
      <c r="A17" s="71" t="s">
        <v>33</v>
      </c>
      <c r="B17" s="73"/>
      <c r="C17" s="73"/>
      <c r="D17" s="73"/>
      <c r="E17" s="73"/>
      <c r="F17" s="73"/>
      <c r="H17" s="97">
        <f t="shared" si="6"/>
        <v>4</v>
      </c>
      <c r="I17" s="96">
        <f t="shared" si="0"/>
        <v>5</v>
      </c>
      <c r="J17" s="96">
        <f t="shared" si="1"/>
        <v>65000</v>
      </c>
      <c r="K17" s="87">
        <f t="shared" si="2"/>
        <v>0.77732309089481699</v>
      </c>
      <c r="L17" s="96">
        <f t="shared" si="3"/>
        <v>50526.000908163107</v>
      </c>
      <c r="M17" s="96">
        <f t="shared" si="4"/>
        <v>202104.00363265243</v>
      </c>
      <c r="N17" s="95">
        <f t="shared" si="5"/>
        <v>890934.35443872388</v>
      </c>
    </row>
    <row r="18" spans="1:14" ht="15.75" x14ac:dyDescent="0.25">
      <c r="A18" s="73"/>
      <c r="B18" s="73"/>
      <c r="C18" s="73"/>
      <c r="D18" s="73"/>
      <c r="E18" s="73"/>
      <c r="F18" s="73"/>
      <c r="H18" s="97">
        <f t="shared" si="6"/>
        <v>5</v>
      </c>
      <c r="I18" s="96">
        <f t="shared" si="0"/>
        <v>6</v>
      </c>
      <c r="J18" s="96">
        <f t="shared" si="1"/>
        <v>65000</v>
      </c>
      <c r="K18" s="87">
        <f t="shared" si="2"/>
        <v>0.72988083652095492</v>
      </c>
      <c r="L18" s="96">
        <f t="shared" si="3"/>
        <v>47442.254373862073</v>
      </c>
      <c r="M18" s="96">
        <f t="shared" si="4"/>
        <v>237211.27186931035</v>
      </c>
      <c r="N18" s="95">
        <f t="shared" si="5"/>
        <v>1254837.1189277803</v>
      </c>
    </row>
    <row r="19" spans="1:14" x14ac:dyDescent="0.25">
      <c r="H19" s="97">
        <f t="shared" si="6"/>
        <v>6</v>
      </c>
      <c r="I19" s="96">
        <f t="shared" si="0"/>
        <v>7</v>
      </c>
      <c r="J19" s="96">
        <f t="shared" si="1"/>
        <v>65000</v>
      </c>
      <c r="K19" s="87">
        <f t="shared" si="2"/>
        <v>0.68533411879901873</v>
      </c>
      <c r="L19" s="96">
        <f t="shared" si="3"/>
        <v>44546.71772193622</v>
      </c>
      <c r="M19" s="96">
        <f t="shared" si="4"/>
        <v>267280.30633161729</v>
      </c>
      <c r="N19" s="95">
        <f t="shared" si="5"/>
        <v>1649551.1422524811</v>
      </c>
    </row>
    <row r="20" spans="1:14" x14ac:dyDescent="0.25">
      <c r="H20" s="97">
        <f t="shared" si="6"/>
        <v>7</v>
      </c>
      <c r="I20" s="96">
        <f t="shared" si="0"/>
        <v>8</v>
      </c>
      <c r="J20" s="96">
        <f t="shared" si="1"/>
        <v>65000</v>
      </c>
      <c r="K20" s="87">
        <f t="shared" si="2"/>
        <v>0.64350621483475945</v>
      </c>
      <c r="L20" s="96">
        <f t="shared" si="3"/>
        <v>41827.903964259363</v>
      </c>
      <c r="M20" s="96">
        <f t="shared" si="4"/>
        <v>292795.32774981554</v>
      </c>
      <c r="N20" s="95">
        <f t="shared" si="5"/>
        <v>2065165.7492988806</v>
      </c>
    </row>
    <row r="21" spans="1:14" x14ac:dyDescent="0.25">
      <c r="H21" s="97">
        <f t="shared" si="6"/>
        <v>8</v>
      </c>
      <c r="I21" s="96">
        <f t="shared" si="0"/>
        <v>9</v>
      </c>
      <c r="J21" s="96">
        <f t="shared" si="1"/>
        <v>65000</v>
      </c>
      <c r="K21" s="87">
        <f t="shared" si="2"/>
        <v>0.60423118763827188</v>
      </c>
      <c r="L21" s="96">
        <f t="shared" si="3"/>
        <v>39275.027196487674</v>
      </c>
      <c r="M21" s="96">
        <f t="shared" si="4"/>
        <v>314200.21757190139</v>
      </c>
      <c r="N21" s="95">
        <f t="shared" si="5"/>
        <v>2493157.8462360734</v>
      </c>
    </row>
    <row r="22" spans="1:14" x14ac:dyDescent="0.25">
      <c r="H22" s="97">
        <f t="shared" si="6"/>
        <v>9</v>
      </c>
      <c r="I22" s="96">
        <f t="shared" si="0"/>
        <v>10</v>
      </c>
      <c r="J22" s="96">
        <f t="shared" si="1"/>
        <v>65000</v>
      </c>
      <c r="K22" s="87">
        <f t="shared" si="2"/>
        <v>0.56735322782936326</v>
      </c>
      <c r="L22" s="96">
        <f t="shared" si="3"/>
        <v>36877.959808908614</v>
      </c>
      <c r="M22" s="96">
        <f t="shared" si="4"/>
        <v>331901.63828017755</v>
      </c>
      <c r="N22" s="95">
        <f t="shared" si="5"/>
        <v>2926241.6035634666</v>
      </c>
    </row>
    <row r="23" spans="1:14" x14ac:dyDescent="0.25">
      <c r="H23" s="97">
        <f t="shared" si="6"/>
        <v>10</v>
      </c>
      <c r="I23" s="96">
        <f t="shared" si="0"/>
        <v>11</v>
      </c>
      <c r="J23" s="96">
        <f t="shared" si="1"/>
        <v>65000</v>
      </c>
      <c r="K23" s="87">
        <f t="shared" si="2"/>
        <v>0.53272603552052888</v>
      </c>
      <c r="L23" s="96">
        <f t="shared" si="3"/>
        <v>34627.192308834376</v>
      </c>
      <c r="M23" s="96">
        <f t="shared" si="4"/>
        <v>346271.92308834376</v>
      </c>
      <c r="N23" s="95">
        <f t="shared" si="5"/>
        <v>3358232.4088886939</v>
      </c>
    </row>
    <row r="24" spans="1:14" x14ac:dyDescent="0.25">
      <c r="H24" s="97">
        <f t="shared" si="6"/>
        <v>11</v>
      </c>
      <c r="I24" s="96">
        <f t="shared" si="0"/>
        <v>12</v>
      </c>
      <c r="J24" s="96">
        <f t="shared" si="1"/>
        <v>65000</v>
      </c>
      <c r="K24" s="87">
        <f t="shared" si="2"/>
        <v>0.50021223992537933</v>
      </c>
      <c r="L24" s="96">
        <f t="shared" si="3"/>
        <v>32513.795595149655</v>
      </c>
      <c r="M24" s="96">
        <f t="shared" si="4"/>
        <v>357651.75154664624</v>
      </c>
      <c r="N24" s="95">
        <f t="shared" si="5"/>
        <v>3783923.8410013448</v>
      </c>
    </row>
    <row r="25" spans="1:14" x14ac:dyDescent="0.25">
      <c r="H25" s="97">
        <f t="shared" si="6"/>
        <v>12</v>
      </c>
      <c r="I25" s="96">
        <f t="shared" si="0"/>
        <v>13</v>
      </c>
      <c r="J25" s="96">
        <f t="shared" si="1"/>
        <v>65000</v>
      </c>
      <c r="K25" s="87">
        <f t="shared" si="2"/>
        <v>0.4696828543900276</v>
      </c>
      <c r="L25" s="96">
        <f t="shared" si="3"/>
        <v>30529.385535351794</v>
      </c>
      <c r="M25" s="96">
        <f t="shared" si="4"/>
        <v>366352.62642422155</v>
      </c>
      <c r="N25" s="95">
        <f t="shared" si="5"/>
        <v>4198976.5201039258</v>
      </c>
    </row>
    <row r="26" spans="1:14" x14ac:dyDescent="0.25">
      <c r="H26" s="97">
        <f t="shared" si="6"/>
        <v>13</v>
      </c>
      <c r="I26" s="96">
        <f t="shared" si="0"/>
        <v>14</v>
      </c>
      <c r="J26" s="96">
        <f t="shared" si="1"/>
        <v>65000</v>
      </c>
      <c r="K26" s="87">
        <f t="shared" si="2"/>
        <v>0.44101676468547191</v>
      </c>
      <c r="L26" s="96">
        <f t="shared" si="3"/>
        <v>28666.089704555674</v>
      </c>
      <c r="M26" s="96">
        <f t="shared" si="4"/>
        <v>372659.16615922377</v>
      </c>
      <c r="N26" s="95">
        <f t="shared" si="5"/>
        <v>4599817.7841514051</v>
      </c>
    </row>
    <row r="27" spans="1:14" x14ac:dyDescent="0.25">
      <c r="H27" s="97">
        <f t="shared" si="6"/>
        <v>14</v>
      </c>
      <c r="I27" s="96">
        <f t="shared" si="0"/>
        <v>15</v>
      </c>
      <c r="J27" s="96">
        <f t="shared" si="1"/>
        <v>65000</v>
      </c>
      <c r="K27" s="87">
        <f t="shared" si="2"/>
        <v>0.41410024853095956</v>
      </c>
      <c r="L27" s="96">
        <f t="shared" si="3"/>
        <v>26916.51615451237</v>
      </c>
      <c r="M27" s="96">
        <f t="shared" si="4"/>
        <v>376831.22616317321</v>
      </c>
      <c r="N27" s="95">
        <f t="shared" si="5"/>
        <v>4983551.228766419</v>
      </c>
    </row>
    <row r="28" spans="1:14" ht="15.75" thickBot="1" x14ac:dyDescent="0.3">
      <c r="H28" s="94">
        <f t="shared" si="6"/>
        <v>15</v>
      </c>
      <c r="I28" s="92">
        <f t="shared" si="0"/>
        <v>16</v>
      </c>
      <c r="J28" s="92">
        <f>$B$7*$B$6+B7</f>
        <v>1065000</v>
      </c>
      <c r="K28" s="93">
        <f t="shared" si="2"/>
        <v>0.38882652444221566</v>
      </c>
      <c r="L28" s="92">
        <f t="shared" si="3"/>
        <v>414100.24853095965</v>
      </c>
      <c r="M28" s="92">
        <f t="shared" si="4"/>
        <v>6211503.7279643947</v>
      </c>
      <c r="N28" s="91">
        <f t="shared" si="5"/>
        <v>87622878.747541443</v>
      </c>
    </row>
    <row r="29" spans="1:14" ht="15.75" thickBot="1" x14ac:dyDescent="0.3">
      <c r="H29" s="90" t="s">
        <v>121</v>
      </c>
      <c r="I29" s="89"/>
      <c r="J29" s="89"/>
      <c r="K29" s="89"/>
      <c r="L29" s="88">
        <f>SUM(L14:L28)</f>
        <v>1000000.0000000009</v>
      </c>
      <c r="M29" s="88">
        <f>SUM(M14:M28)</f>
        <v>10013842.330292948</v>
      </c>
      <c r="N29" s="88">
        <f>SUM(N14:N28)</f>
        <v>120807351.78504035</v>
      </c>
    </row>
    <row r="31" spans="1:14" x14ac:dyDescent="0.25">
      <c r="G31" s="53" t="s">
        <v>120</v>
      </c>
    </row>
    <row r="33" spans="7:8" ht="15.75" thickBot="1" x14ac:dyDescent="0.3">
      <c r="G33" s="72" t="s">
        <v>119</v>
      </c>
      <c r="H33" s="87">
        <f>M29/L29</f>
        <v>10.013842330292938</v>
      </c>
    </row>
    <row r="34" spans="7:8" ht="15.75" thickBot="1" x14ac:dyDescent="0.3">
      <c r="G34" s="72" t="s">
        <v>118</v>
      </c>
      <c r="H34" s="86">
        <f>H33*$K$14</f>
        <v>9.402668854735154</v>
      </c>
    </row>
    <row r="36" spans="7:8" ht="15.75" thickBot="1" x14ac:dyDescent="0.3">
      <c r="G36" s="53" t="s">
        <v>117</v>
      </c>
    </row>
    <row r="37" spans="7:8" ht="15.75" thickBot="1" x14ac:dyDescent="0.3">
      <c r="G37" s="72" t="s">
        <v>116</v>
      </c>
      <c r="H37" s="86">
        <f>N29/L29</f>
        <v>120.80735178504024</v>
      </c>
    </row>
    <row r="39" spans="7:8" x14ac:dyDescent="0.25">
      <c r="G39" s="53" t="s">
        <v>115</v>
      </c>
    </row>
    <row r="40" spans="7:8" x14ac:dyDescent="0.25">
      <c r="G40" s="72" t="s">
        <v>114</v>
      </c>
      <c r="H40" s="85">
        <v>0.01</v>
      </c>
    </row>
    <row r="41" spans="7:8" x14ac:dyDescent="0.25">
      <c r="G41" s="72" t="s">
        <v>113</v>
      </c>
      <c r="H41" s="83">
        <f>-H40*L29*H34</f>
        <v>-94026.68854735163</v>
      </c>
    </row>
    <row r="42" spans="7:8" ht="15.75" thickBot="1" x14ac:dyDescent="0.3">
      <c r="G42" s="72" t="s">
        <v>112</v>
      </c>
      <c r="H42" s="83">
        <f>0.5*H37*L29*H40^2</f>
        <v>6040.3675892520178</v>
      </c>
    </row>
    <row r="43" spans="7:8" ht="15.75" thickBot="1" x14ac:dyDescent="0.3">
      <c r="G43" s="72" t="s">
        <v>111</v>
      </c>
      <c r="H43" s="84">
        <f>SUM(H41:H42)</f>
        <v>-87986.320958099619</v>
      </c>
    </row>
    <row r="44" spans="7:8" x14ac:dyDescent="0.25">
      <c r="H44" s="8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Q3(c) Model Solution</vt:lpstr>
      <vt:lpstr>Q4 Calc (a)(i)</vt:lpstr>
      <vt:lpstr>Q4 Calc (a)(ii)</vt:lpstr>
      <vt:lpstr>Q4 Calc (b)(i)</vt:lpstr>
      <vt:lpstr>Solution 6(a)</vt:lpstr>
      <vt:lpstr>Solution 6(b)</vt:lpstr>
    </vt:vector>
  </TitlesOfParts>
  <Company>Sun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Aleshia Zionce</dc:creator>
  <cp:lastModifiedBy>Aleshia Zionce</cp:lastModifiedBy>
  <dcterms:created xsi:type="dcterms:W3CDTF">2024-12-14T05:07:59Z</dcterms:created>
  <dcterms:modified xsi:type="dcterms:W3CDTF">2025-01-16T19:52:35Z</dcterms:modified>
</cp:coreProperties>
</file>