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B1BC4896-58FE-4E8A-9D11-9E075D61BADB}" xr6:coauthVersionLast="47" xr6:coauthVersionMax="47" xr10:uidLastSave="{00000000-0000-0000-0000-000000000000}"/>
  <bookViews>
    <workbookView xWindow="3120" yWindow="3120" windowWidth="20460" windowHeight="10335" tabRatio="784" xr2:uid="{00000000-000D-0000-FFFF-FFFF00000000}"/>
  </bookViews>
  <sheets>
    <sheet name="Question 1" sheetId="36" r:id="rId1"/>
    <sheet name="Question 2" sheetId="41" r:id="rId2"/>
    <sheet name="Question 3" sheetId="42" r:id="rId3"/>
    <sheet name="Question 4" sheetId="43" r:id="rId4"/>
    <sheet name="Question 5" sheetId="44" r:id="rId5"/>
    <sheet name="Question 6" sheetId="45" r:id="rId6"/>
    <sheet name="Question 7" sheetId="46" r:id="rId7"/>
    <sheet name="Question 8" sheetId="47" r:id="rId8"/>
    <sheet name="Question 9" sheetId="48" r:id="rId9"/>
    <sheet name="Question 10" sheetId="49" r:id="rId10"/>
    <sheet name="Question 11" sheetId="50" r:id="rId11"/>
    <sheet name="Question 12" sheetId="51" r:id="rId12"/>
    <sheet name="Question 13" sheetId="5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52" l="1"/>
  <c r="I41" i="52" s="1"/>
  <c r="H49" i="52"/>
  <c r="C46" i="52"/>
  <c r="H46" i="52" s="1"/>
  <c r="B46" i="52"/>
  <c r="G46" i="52" s="1"/>
  <c r="A46" i="52"/>
  <c r="E45" i="52"/>
  <c r="E44" i="52" s="1"/>
  <c r="D45" i="52"/>
  <c r="D44" i="52" s="1"/>
  <c r="D43" i="52" s="1"/>
  <c r="D42" i="52" s="1"/>
  <c r="D41" i="52" s="1"/>
  <c r="C45" i="52"/>
  <c r="B45" i="52"/>
  <c r="A45" i="52"/>
  <c r="C44" i="52"/>
  <c r="B44" i="52"/>
  <c r="A44" i="52"/>
  <c r="C43" i="52"/>
  <c r="B43" i="52"/>
  <c r="A43" i="52"/>
  <c r="C42" i="52"/>
  <c r="B42" i="52"/>
  <c r="A42" i="52"/>
  <c r="F41" i="52"/>
  <c r="F42" i="52" s="1"/>
  <c r="F43" i="52" s="1"/>
  <c r="F44" i="52" s="1"/>
  <c r="F45" i="52" s="1"/>
  <c r="C41" i="52"/>
  <c r="B41" i="52"/>
  <c r="A41" i="52"/>
  <c r="C40" i="52"/>
  <c r="B40" i="52"/>
  <c r="A40" i="52"/>
  <c r="B30" i="52"/>
  <c r="D30" i="52" s="1"/>
  <c r="A30" i="52"/>
  <c r="B29" i="52"/>
  <c r="A29" i="52"/>
  <c r="B28" i="52"/>
  <c r="A28" i="52"/>
  <c r="B27" i="52"/>
  <c r="A27" i="52"/>
  <c r="B26" i="52"/>
  <c r="A26" i="52"/>
  <c r="C25" i="52"/>
  <c r="C26" i="52" s="1"/>
  <c r="C27" i="52" s="1"/>
  <c r="C28" i="52" s="1"/>
  <c r="C29" i="52" s="1"/>
  <c r="B25" i="52"/>
  <c r="A25" i="52"/>
  <c r="B24" i="52"/>
  <c r="D24" i="52" s="1"/>
  <c r="A24" i="52"/>
  <c r="G45" i="52" l="1"/>
  <c r="G44" i="52"/>
  <c r="D26" i="52"/>
  <c r="G42" i="52"/>
  <c r="D40" i="52"/>
  <c r="G40" i="52" s="1"/>
  <c r="G41" i="52"/>
  <c r="H44" i="52"/>
  <c r="E43" i="52"/>
  <c r="E42" i="52" s="1"/>
  <c r="G43" i="52"/>
  <c r="H45" i="52"/>
  <c r="D29" i="52"/>
  <c r="E30" i="52" s="1"/>
  <c r="D28" i="52"/>
  <c r="D27" i="52"/>
  <c r="D25" i="52"/>
  <c r="E25" i="52" s="1"/>
  <c r="E27" i="52" l="1"/>
  <c r="H42" i="52"/>
  <c r="E41" i="52"/>
  <c r="G48" i="52"/>
  <c r="G47" i="52"/>
  <c r="H43" i="52"/>
  <c r="E28" i="52"/>
  <c r="E29" i="52"/>
  <c r="E26" i="52"/>
  <c r="E32" i="52" s="1"/>
  <c r="E40" i="52" l="1"/>
  <c r="H40" i="52" s="1"/>
  <c r="H41" i="52"/>
  <c r="E31" i="52"/>
  <c r="H47" i="52" l="1"/>
  <c r="H48" i="52"/>
  <c r="I45" i="52" l="1"/>
  <c r="I44" i="52"/>
  <c r="I46" i="52"/>
  <c r="I43" i="52"/>
  <c r="I40" i="52"/>
  <c r="I42" i="52"/>
  <c r="I47" i="52" l="1"/>
  <c r="I102" i="51" l="1"/>
  <c r="I101" i="51" s="1"/>
  <c r="I100" i="51" s="1"/>
  <c r="I99" i="51" s="1"/>
  <c r="H94" i="51"/>
  <c r="G94" i="51"/>
  <c r="C93" i="51"/>
  <c r="D95" i="51" s="1"/>
  <c r="F94" i="51"/>
  <c r="D94" i="51"/>
  <c r="E91" i="51"/>
  <c r="F91" i="51" s="1"/>
  <c r="G91" i="51" s="1"/>
  <c r="H91" i="51" s="1"/>
  <c r="F95" i="51" l="1"/>
  <c r="F96" i="51" s="1"/>
  <c r="C101" i="51" s="1"/>
  <c r="G95" i="51"/>
  <c r="G96" i="51" s="1"/>
  <c r="C102" i="51" s="1"/>
  <c r="H95" i="51"/>
  <c r="H96" i="51" s="1"/>
  <c r="C103" i="51" s="1"/>
  <c r="D96" i="51"/>
  <c r="C99" i="51" s="1"/>
  <c r="E93" i="51" l="1"/>
  <c r="E94" i="51" l="1"/>
  <c r="E95" i="51"/>
  <c r="E96" i="51" s="1"/>
  <c r="C100" i="51" s="1"/>
  <c r="A103" i="51" l="1"/>
  <c r="A102" i="51"/>
  <c r="A101" i="51"/>
  <c r="A100" i="51"/>
  <c r="A99" i="51"/>
  <c r="D77" i="51"/>
  <c r="B103" i="51" s="1"/>
  <c r="D103" i="51" s="1"/>
  <c r="D76" i="51"/>
  <c r="B102" i="51" s="1"/>
  <c r="D75" i="51"/>
  <c r="B101" i="51" s="1"/>
  <c r="D74" i="51"/>
  <c r="B100" i="51" s="1"/>
  <c r="D73" i="51"/>
  <c r="B99" i="51" s="1"/>
  <c r="A77" i="51"/>
  <c r="A76" i="51"/>
  <c r="A75" i="51"/>
  <c r="A74" i="51"/>
  <c r="A73" i="51"/>
  <c r="C73" i="51" s="1"/>
  <c r="A56" i="51"/>
  <c r="A55" i="51"/>
  <c r="A54" i="51"/>
  <c r="A53" i="51"/>
  <c r="A52" i="51"/>
  <c r="E45" i="51"/>
  <c r="D45" i="51"/>
  <c r="A45" i="51"/>
  <c r="E44" i="51"/>
  <c r="A44" i="51"/>
  <c r="A43" i="51"/>
  <c r="A42" i="51"/>
  <c r="D36" i="51"/>
  <c r="C36" i="51"/>
  <c r="B38" i="51"/>
  <c r="C37" i="51"/>
  <c r="B37" i="51"/>
  <c r="B45" i="51" s="1"/>
  <c r="B36" i="51"/>
  <c r="E35" i="51"/>
  <c r="D35" i="51"/>
  <c r="C35" i="51"/>
  <c r="B35" i="51"/>
  <c r="F34" i="51"/>
  <c r="E34" i="51"/>
  <c r="D34" i="51"/>
  <c r="C34" i="51"/>
  <c r="B34" i="51"/>
  <c r="D100" i="51" l="1"/>
  <c r="D102" i="51"/>
  <c r="B104" i="51"/>
  <c r="D101" i="51"/>
  <c r="C76" i="51"/>
  <c r="D99" i="51"/>
  <c r="C77" i="51"/>
  <c r="C74" i="51"/>
  <c r="C75" i="51"/>
  <c r="B56" i="51"/>
  <c r="D78" i="51"/>
  <c r="E47" i="51"/>
  <c r="E48" i="51" s="1"/>
  <c r="B43" i="51"/>
  <c r="C43" i="51"/>
  <c r="B42" i="51"/>
  <c r="C44" i="51"/>
  <c r="B53" i="51"/>
  <c r="B47" i="51"/>
  <c r="B48" i="51" s="1"/>
  <c r="C47" i="51"/>
  <c r="C48" i="51" s="1"/>
  <c r="D47" i="51"/>
  <c r="D48" i="51" s="1"/>
  <c r="B54" i="51"/>
  <c r="C42" i="51"/>
  <c r="C46" i="51" s="1"/>
  <c r="B55" i="51"/>
  <c r="D42" i="51"/>
  <c r="D43" i="51"/>
  <c r="E42" i="51"/>
  <c r="E46" i="51" s="1"/>
  <c r="B52" i="51"/>
  <c r="H99" i="51" s="1"/>
  <c r="B44" i="51"/>
  <c r="H103" i="51" l="1"/>
  <c r="H100" i="51"/>
  <c r="H101" i="51"/>
  <c r="H102" i="51"/>
  <c r="J99" i="51"/>
  <c r="D104" i="51"/>
  <c r="D46" i="51"/>
  <c r="C78" i="51"/>
  <c r="B46" i="51"/>
  <c r="F48" i="51"/>
  <c r="F49" i="51" s="1"/>
  <c r="C52" i="51" s="1"/>
  <c r="E99" i="51" s="1"/>
  <c r="F99" i="51" s="1"/>
  <c r="L99" i="51" s="1"/>
  <c r="B57" i="51"/>
  <c r="J101" i="51" l="1"/>
  <c r="J100" i="51"/>
  <c r="J103" i="51"/>
  <c r="H104" i="51"/>
  <c r="J102" i="51"/>
  <c r="B73" i="51"/>
  <c r="F73" i="51" s="1"/>
  <c r="G99" i="51"/>
  <c r="B49" i="51"/>
  <c r="C56" i="51" s="1"/>
  <c r="E103" i="51" s="1"/>
  <c r="F103" i="51" s="1"/>
  <c r="L103" i="51" s="1"/>
  <c r="C49" i="51"/>
  <c r="C55" i="51" s="1"/>
  <c r="E102" i="51" s="1"/>
  <c r="F102" i="51" s="1"/>
  <c r="L102" i="51" s="1"/>
  <c r="D49" i="51"/>
  <c r="C54" i="51" s="1"/>
  <c r="E101" i="51" s="1"/>
  <c r="F101" i="51" s="1"/>
  <c r="L101" i="51" s="1"/>
  <c r="D52" i="51"/>
  <c r="E52" i="51" s="1"/>
  <c r="E49" i="51"/>
  <c r="C53" i="51" s="1"/>
  <c r="E100" i="51" s="1"/>
  <c r="F100" i="51" s="1"/>
  <c r="L100" i="51" s="1"/>
  <c r="J104" i="51" l="1"/>
  <c r="B75" i="51"/>
  <c r="F75" i="51" s="1"/>
  <c r="B77" i="51"/>
  <c r="F77" i="51" s="1"/>
  <c r="B74" i="51"/>
  <c r="F74" i="51" s="1"/>
  <c r="B76" i="51"/>
  <c r="F76" i="51" s="1"/>
  <c r="D54" i="51"/>
  <c r="E54" i="51" s="1"/>
  <c r="D53" i="51"/>
  <c r="E53" i="51" s="1"/>
  <c r="D55" i="51"/>
  <c r="E55" i="51" s="1"/>
  <c r="D56" i="51"/>
  <c r="E56" i="51" s="1"/>
  <c r="G102" i="51" l="1"/>
  <c r="G103" i="51"/>
  <c r="G100" i="51"/>
  <c r="G101" i="51"/>
  <c r="F78" i="51"/>
  <c r="D57" i="51"/>
  <c r="E57" i="51"/>
  <c r="G104" i="51" l="1"/>
  <c r="J106" i="51" s="1"/>
  <c r="K99" i="51" l="1"/>
  <c r="M99" i="51" s="1"/>
  <c r="N99" i="51" s="1"/>
  <c r="K103" i="51"/>
  <c r="K101" i="51"/>
  <c r="K102" i="51"/>
  <c r="K100" i="51"/>
  <c r="M100" i="51" l="1"/>
  <c r="N100" i="51" s="1"/>
  <c r="M102" i="51"/>
  <c r="N102" i="51" s="1"/>
  <c r="M101" i="51"/>
  <c r="N101" i="51" s="1"/>
  <c r="M103" i="51"/>
  <c r="N103" i="51" s="1"/>
  <c r="K104" i="51"/>
  <c r="M104" i="51" l="1"/>
  <c r="N104" i="51"/>
  <c r="Q49" i="50" l="1"/>
  <c r="U49" i="50" s="1"/>
  <c r="B36" i="50"/>
  <c r="B35" i="50"/>
  <c r="C35" i="50" s="1"/>
  <c r="A36" i="50"/>
  <c r="A35" i="50"/>
  <c r="C56" i="50"/>
  <c r="C57" i="50" s="1"/>
  <c r="B57" i="50"/>
  <c r="B56" i="50"/>
  <c r="F37" i="50"/>
  <c r="D35" i="50"/>
  <c r="D34" i="50" s="1"/>
  <c r="E33" i="50"/>
  <c r="E34" i="50" s="1"/>
  <c r="E32" i="50"/>
  <c r="F32" i="50" s="1"/>
  <c r="C36" i="50" l="1"/>
  <c r="F39" i="50"/>
  <c r="F41" i="50" s="1"/>
  <c r="D56" i="50"/>
  <c r="D57" i="50"/>
  <c r="E35" i="50"/>
  <c r="D37" i="50"/>
  <c r="D39" i="50" l="1"/>
  <c r="D41" i="50" s="1"/>
  <c r="E57" i="50"/>
  <c r="F57" i="50" s="1"/>
  <c r="E56" i="50"/>
  <c r="F56" i="50" s="1"/>
  <c r="E37" i="50"/>
  <c r="E39" i="50" s="1"/>
  <c r="E41" i="50" s="1"/>
  <c r="H127" i="49" l="1"/>
  <c r="H126" i="49"/>
  <c r="H125" i="49"/>
  <c r="B131" i="49" s="1"/>
  <c r="H124" i="49"/>
  <c r="C131" i="49" s="1"/>
  <c r="H123" i="49"/>
  <c r="H122" i="49"/>
  <c r="H121" i="49"/>
  <c r="F131" i="49" s="1"/>
  <c r="H120" i="49"/>
  <c r="G131" i="49" s="1"/>
  <c r="A140" i="49"/>
  <c r="A139" i="49"/>
  <c r="A138" i="49"/>
  <c r="A137" i="49"/>
  <c r="A136" i="49"/>
  <c r="A135" i="49"/>
  <c r="A126" i="49"/>
  <c r="A127" i="49" s="1"/>
  <c r="A142" i="49" s="1"/>
  <c r="B125" i="49"/>
  <c r="B140" i="49" s="1"/>
  <c r="C124" i="49"/>
  <c r="B124" i="49"/>
  <c r="B139" i="49" s="1"/>
  <c r="D123" i="49"/>
  <c r="C123" i="49"/>
  <c r="B123" i="49"/>
  <c r="B138" i="49" s="1"/>
  <c r="E122" i="49"/>
  <c r="D122" i="49"/>
  <c r="C122" i="49"/>
  <c r="B122" i="49"/>
  <c r="B137" i="49" s="1"/>
  <c r="F121" i="49"/>
  <c r="E121" i="49"/>
  <c r="D121" i="49"/>
  <c r="C121" i="49"/>
  <c r="B121" i="49"/>
  <c r="B136" i="49" s="1"/>
  <c r="G120" i="49"/>
  <c r="F120" i="49"/>
  <c r="E120" i="49"/>
  <c r="D120" i="49"/>
  <c r="C120" i="49"/>
  <c r="B120" i="49"/>
  <c r="B135" i="49" s="1"/>
  <c r="A96" i="49"/>
  <c r="D96" i="49" s="1"/>
  <c r="A95" i="49"/>
  <c r="D95" i="49" s="1"/>
  <c r="B50" i="49"/>
  <c r="B68" i="49" s="1"/>
  <c r="B77" i="49" s="1"/>
  <c r="C49" i="49"/>
  <c r="C67" i="49" s="1"/>
  <c r="B49" i="49"/>
  <c r="B67" i="49" s="1"/>
  <c r="B76" i="49" s="1"/>
  <c r="D48" i="49"/>
  <c r="D66" i="49" s="1"/>
  <c r="C48" i="49"/>
  <c r="C66" i="49" s="1"/>
  <c r="B48" i="49"/>
  <c r="B66" i="49" s="1"/>
  <c r="B75" i="49" s="1"/>
  <c r="E47" i="49"/>
  <c r="E65" i="49" s="1"/>
  <c r="D47" i="49"/>
  <c r="D65" i="49" s="1"/>
  <c r="C47" i="49"/>
  <c r="C65" i="49" s="1"/>
  <c r="B47" i="49"/>
  <c r="B65" i="49" s="1"/>
  <c r="B74" i="49" s="1"/>
  <c r="F46" i="49"/>
  <c r="F64" i="49" s="1"/>
  <c r="E46" i="49"/>
  <c r="E64" i="49" s="1"/>
  <c r="D46" i="49"/>
  <c r="D64" i="49" s="1"/>
  <c r="C46" i="49"/>
  <c r="C64" i="49" s="1"/>
  <c r="B46" i="49"/>
  <c r="B64" i="49" s="1"/>
  <c r="B73" i="49" s="1"/>
  <c r="G45" i="49"/>
  <c r="G63" i="49" s="1"/>
  <c r="F45" i="49"/>
  <c r="F63" i="49" s="1"/>
  <c r="E45" i="49"/>
  <c r="E63" i="49" s="1"/>
  <c r="D45" i="49"/>
  <c r="D63" i="49" s="1"/>
  <c r="C45" i="49"/>
  <c r="C63" i="49" s="1"/>
  <c r="B45" i="49"/>
  <c r="B63" i="49" s="1"/>
  <c r="B72" i="49" s="1"/>
  <c r="E131" i="49" l="1"/>
  <c r="D131" i="49"/>
  <c r="F136" i="49"/>
  <c r="B126" i="49"/>
  <c r="B127" i="49"/>
  <c r="C137" i="49"/>
  <c r="D137" i="49"/>
  <c r="D135" i="49"/>
  <c r="E136" i="49"/>
  <c r="D136" i="49"/>
  <c r="C75" i="49"/>
  <c r="D75" i="49" s="1"/>
  <c r="E137" i="49"/>
  <c r="C139" i="49"/>
  <c r="C136" i="49"/>
  <c r="C72" i="49"/>
  <c r="D72" i="49" s="1"/>
  <c r="E72" i="49" s="1"/>
  <c r="F72" i="49" s="1"/>
  <c r="G72" i="49" s="1"/>
  <c r="C73" i="49"/>
  <c r="D73" i="49" s="1"/>
  <c r="E73" i="49" s="1"/>
  <c r="F73" i="49" s="1"/>
  <c r="C76" i="49"/>
  <c r="F135" i="49"/>
  <c r="C138" i="49"/>
  <c r="G135" i="49"/>
  <c r="D138" i="49"/>
  <c r="C135" i="49"/>
  <c r="E135" i="49"/>
  <c r="D130" i="49"/>
  <c r="E123" i="49" s="1"/>
  <c r="F130" i="49"/>
  <c r="G121" i="49" s="1"/>
  <c r="A141" i="49"/>
  <c r="B96" i="49"/>
  <c r="C96" i="49" s="1"/>
  <c r="E96" i="49" s="1"/>
  <c r="B95" i="49"/>
  <c r="C95" i="49" s="1"/>
  <c r="E95" i="49" s="1"/>
  <c r="C74" i="49"/>
  <c r="D74" i="49" s="1"/>
  <c r="E74" i="49" s="1"/>
  <c r="G136" i="49" l="1"/>
  <c r="B130" i="49"/>
  <c r="C125" i="49" s="1"/>
  <c r="E130" i="49"/>
  <c r="F122" i="49" s="1"/>
  <c r="C130" i="49"/>
  <c r="D124" i="49" s="1"/>
  <c r="E138" i="49"/>
  <c r="F123" i="49" l="1"/>
  <c r="F138" i="49" s="1"/>
  <c r="C127" i="49"/>
  <c r="B142" i="49"/>
  <c r="D125" i="49"/>
  <c r="C140" i="49"/>
  <c r="D139" i="49"/>
  <c r="E124" i="49"/>
  <c r="F137" i="49"/>
  <c r="G122" i="49"/>
  <c r="B141" i="49"/>
  <c r="C126" i="49"/>
  <c r="G123" i="49" l="1"/>
  <c r="C144" i="49"/>
  <c r="G137" i="49"/>
  <c r="C141" i="49"/>
  <c r="D126" i="49"/>
  <c r="G138" i="49"/>
  <c r="E139" i="49"/>
  <c r="F124" i="49"/>
  <c r="E125" i="49"/>
  <c r="D140" i="49"/>
  <c r="C145" i="49" s="1"/>
  <c r="C142" i="49"/>
  <c r="D127" i="49"/>
  <c r="F125" i="49" l="1"/>
  <c r="E140" i="49"/>
  <c r="D141" i="49"/>
  <c r="E126" i="49"/>
  <c r="F139" i="49"/>
  <c r="G124" i="49"/>
  <c r="D142" i="49"/>
  <c r="E127" i="49"/>
  <c r="E142" i="49" l="1"/>
  <c r="F127" i="49"/>
  <c r="G139" i="49"/>
  <c r="E141" i="49"/>
  <c r="F126" i="49"/>
  <c r="G125" i="49"/>
  <c r="F140" i="49"/>
  <c r="F141" i="49" l="1"/>
  <c r="G126" i="49"/>
  <c r="F142" i="49"/>
  <c r="G127" i="49"/>
  <c r="G140" i="49"/>
  <c r="G141" i="49" l="1"/>
  <c r="G142" i="49"/>
  <c r="G115" i="48" l="1"/>
  <c r="G114" i="48"/>
  <c r="G113" i="48"/>
  <c r="E104" i="48"/>
  <c r="D104" i="48"/>
  <c r="C104" i="48"/>
  <c r="D115" i="48"/>
  <c r="C115" i="48"/>
  <c r="B115" i="48"/>
  <c r="D114" i="48"/>
  <c r="C114" i="48"/>
  <c r="B114" i="48"/>
  <c r="D113" i="48"/>
  <c r="C113" i="48"/>
  <c r="B113" i="48"/>
  <c r="E107" i="48"/>
  <c r="D107" i="48"/>
  <c r="C107" i="48"/>
  <c r="E106" i="48"/>
  <c r="D106" i="48"/>
  <c r="C106" i="48"/>
  <c r="E105" i="48"/>
  <c r="D105" i="48"/>
  <c r="C105" i="48"/>
  <c r="B107" i="48"/>
  <c r="B106" i="48"/>
  <c r="B105" i="48"/>
  <c r="A113" i="48"/>
  <c r="A114" i="48" s="1"/>
  <c r="A115" i="48" s="1"/>
  <c r="B95" i="48"/>
  <c r="B96" i="48" s="1"/>
  <c r="B97" i="48" s="1"/>
  <c r="C61" i="48"/>
  <c r="C62" i="48" s="1"/>
  <c r="B63" i="48"/>
  <c r="B62" i="48"/>
  <c r="B61" i="48"/>
  <c r="C54" i="48"/>
  <c r="B54" i="48"/>
  <c r="C53" i="48"/>
  <c r="B53" i="48"/>
  <c r="C52" i="48"/>
  <c r="B52" i="48"/>
  <c r="D55" i="48"/>
  <c r="F107" i="48" l="1"/>
  <c r="G107" i="48" s="1"/>
  <c r="F105" i="48"/>
  <c r="G105" i="48" s="1"/>
  <c r="F106" i="48"/>
  <c r="G106" i="48" s="1"/>
  <c r="E113" i="48"/>
  <c r="E114" i="48"/>
  <c r="E115" i="48"/>
  <c r="D54" i="48"/>
  <c r="D53" i="48"/>
  <c r="D57" i="48" s="1"/>
  <c r="D52" i="48"/>
  <c r="G109" i="48" l="1"/>
  <c r="D63" i="48"/>
  <c r="D62" i="48"/>
  <c r="D61" i="48"/>
  <c r="H115" i="48" l="1"/>
  <c r="I115" i="48" s="1"/>
  <c r="H114" i="48"/>
  <c r="I114" i="48" s="1"/>
  <c r="H113" i="48"/>
  <c r="I113" i="48" s="1"/>
  <c r="I116" i="48" s="1"/>
  <c r="D64" i="48"/>
  <c r="E49" i="47" l="1"/>
  <c r="E50" i="47" s="1"/>
  <c r="E51" i="47" l="1"/>
  <c r="E52" i="47" s="1"/>
  <c r="C60" i="45" l="1"/>
  <c r="D60" i="45" s="1"/>
  <c r="C59" i="45"/>
  <c r="D59" i="45" s="1"/>
  <c r="C58" i="45"/>
  <c r="D58" i="45" s="1"/>
  <c r="C57" i="45"/>
  <c r="D57" i="45" s="1"/>
  <c r="C56" i="45"/>
  <c r="D56" i="45" s="1"/>
  <c r="B60" i="45"/>
  <c r="B59" i="45"/>
  <c r="B58" i="45"/>
  <c r="B57" i="45"/>
  <c r="B56" i="45"/>
  <c r="E53" i="45"/>
  <c r="E60" i="45" s="1"/>
  <c r="F60" i="45" s="1"/>
  <c r="B38" i="45"/>
  <c r="B37" i="45"/>
  <c r="B36" i="45"/>
  <c r="B35" i="45"/>
  <c r="B34" i="45"/>
  <c r="C28" i="45"/>
  <c r="D28" i="45" s="1"/>
  <c r="C38" i="45" s="1"/>
  <c r="C27" i="45"/>
  <c r="D27" i="45" s="1"/>
  <c r="C37" i="45" s="1"/>
  <c r="C26" i="45"/>
  <c r="D26" i="45" s="1"/>
  <c r="C36" i="45" s="1"/>
  <c r="C25" i="45"/>
  <c r="D25" i="45" s="1"/>
  <c r="C35" i="45" s="1"/>
  <c r="C24" i="45"/>
  <c r="D24" i="45" s="1"/>
  <c r="C34" i="45" s="1"/>
  <c r="E28" i="45"/>
  <c r="D38" i="45" s="1"/>
  <c r="D41" i="45" s="1"/>
  <c r="E27" i="45"/>
  <c r="D37" i="45" s="1"/>
  <c r="E26" i="45"/>
  <c r="D36" i="45" s="1"/>
  <c r="E25" i="45"/>
  <c r="D35" i="45" s="1"/>
  <c r="E24" i="45"/>
  <c r="D34" i="45" s="1"/>
  <c r="B24" i="45"/>
  <c r="B25" i="45" s="1"/>
  <c r="B26" i="45" s="1"/>
  <c r="B27" i="45" s="1"/>
  <c r="B28" i="45" s="1"/>
  <c r="D39" i="45" l="1"/>
  <c r="G60" i="45"/>
  <c r="E59" i="45"/>
  <c r="F59" i="45" s="1"/>
  <c r="C41" i="45"/>
  <c r="E41" i="45" s="1"/>
  <c r="C39" i="45"/>
  <c r="F26" i="45"/>
  <c r="E36" i="45" s="1"/>
  <c r="F25" i="45"/>
  <c r="E35" i="45" s="1"/>
  <c r="F27" i="45"/>
  <c r="E37" i="45" s="1"/>
  <c r="F28" i="45"/>
  <c r="E38" i="45" s="1"/>
  <c r="F24" i="45"/>
  <c r="E34" i="45" s="1"/>
  <c r="E39" i="45" l="1"/>
  <c r="E58" i="45"/>
  <c r="F58" i="45" s="1"/>
  <c r="G59" i="45"/>
  <c r="G58" i="45" l="1"/>
  <c r="G62" i="45" s="1"/>
  <c r="E57" i="45"/>
  <c r="F57" i="45" s="1"/>
  <c r="E56" i="45" l="1"/>
  <c r="G57" i="45"/>
  <c r="F56" i="45" l="1"/>
  <c r="G56" i="45" s="1"/>
  <c r="B61" i="44" l="1"/>
  <c r="D63" i="44" s="1"/>
  <c r="E38" i="44"/>
  <c r="E37" i="44"/>
  <c r="E34" i="44"/>
  <c r="E33" i="44"/>
  <c r="C30" i="44"/>
  <c r="C29" i="44"/>
  <c r="C28" i="44"/>
  <c r="C27" i="44"/>
  <c r="C26" i="44"/>
  <c r="B30" i="44"/>
  <c r="B29" i="44"/>
  <c r="B28" i="44"/>
  <c r="B27" i="44"/>
  <c r="B26" i="44"/>
  <c r="A30" i="44"/>
  <c r="A29" i="44"/>
  <c r="A28" i="44"/>
  <c r="A27" i="44"/>
  <c r="A26" i="44"/>
  <c r="D28" i="44" l="1"/>
  <c r="D30" i="44"/>
  <c r="E39" i="44"/>
  <c r="D27" i="44"/>
  <c r="D29" i="44"/>
  <c r="D26" i="44"/>
  <c r="E32" i="44" s="1"/>
  <c r="E35" i="44" l="1"/>
  <c r="E40" i="44" l="1"/>
  <c r="A120" i="43" l="1"/>
  <c r="C101" i="43"/>
  <c r="C100" i="43"/>
  <c r="C74" i="43"/>
  <c r="D63" i="43"/>
  <c r="E63" i="43" s="1"/>
  <c r="D65" i="43"/>
  <c r="C65" i="43"/>
  <c r="B57" i="43"/>
  <c r="B56" i="43"/>
  <c r="B55" i="43"/>
  <c r="B54" i="43"/>
  <c r="B53" i="43"/>
  <c r="B52" i="43"/>
  <c r="B51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B38" i="43"/>
  <c r="B37" i="43"/>
  <c r="B36" i="43"/>
  <c r="B35" i="43"/>
  <c r="B34" i="43"/>
  <c r="B33" i="43"/>
  <c r="B32" i="43"/>
  <c r="B31" i="43"/>
  <c r="B30" i="43"/>
  <c r="B29" i="43"/>
  <c r="B28" i="43"/>
  <c r="B27" i="43"/>
  <c r="B26" i="43"/>
  <c r="B25" i="43"/>
  <c r="B24" i="43"/>
  <c r="B23" i="43"/>
  <c r="B22" i="43"/>
  <c r="F22" i="43" s="1"/>
  <c r="E43" i="43"/>
  <c r="D32" i="43"/>
  <c r="D33" i="43" s="1"/>
  <c r="E33" i="43" s="1"/>
  <c r="E31" i="43"/>
  <c r="C23" i="43"/>
  <c r="C24" i="43" s="1"/>
  <c r="C25" i="43" s="1"/>
  <c r="E22" i="43"/>
  <c r="G21" i="43"/>
  <c r="H21" i="43" s="1"/>
  <c r="D21" i="43"/>
  <c r="E21" i="43" s="1"/>
  <c r="H22" i="43" l="1"/>
  <c r="E65" i="43"/>
  <c r="G22" i="43"/>
  <c r="F23" i="43"/>
  <c r="G24" i="43"/>
  <c r="F25" i="43"/>
  <c r="C26" i="43"/>
  <c r="E25" i="43"/>
  <c r="E24" i="43"/>
  <c r="H24" i="43" s="1"/>
  <c r="F24" i="43"/>
  <c r="E23" i="43"/>
  <c r="H23" i="43" s="1"/>
  <c r="E44" i="43"/>
  <c r="G23" i="43"/>
  <c r="E32" i="43"/>
  <c r="D34" i="43"/>
  <c r="H25" i="43" l="1"/>
  <c r="E34" i="43"/>
  <c r="D35" i="43"/>
  <c r="E26" i="43"/>
  <c r="C27" i="43"/>
  <c r="G25" i="43"/>
  <c r="E45" i="43"/>
  <c r="F27" i="43" l="1"/>
  <c r="G26" i="43"/>
  <c r="E46" i="43"/>
  <c r="F26" i="43"/>
  <c r="E27" i="43"/>
  <c r="C28" i="43"/>
  <c r="H26" i="43"/>
  <c r="D36" i="43"/>
  <c r="E35" i="43"/>
  <c r="H27" i="43" l="1"/>
  <c r="D37" i="43"/>
  <c r="E36" i="43"/>
  <c r="C29" i="43"/>
  <c r="E28" i="43"/>
  <c r="H28" i="43" s="1"/>
  <c r="F28" i="43"/>
  <c r="G27" i="43"/>
  <c r="E47" i="43"/>
  <c r="G28" i="43" l="1"/>
  <c r="E29" i="43"/>
  <c r="C30" i="43"/>
  <c r="E48" i="43"/>
  <c r="E37" i="43"/>
  <c r="D38" i="43"/>
  <c r="E49" i="43" l="1"/>
  <c r="D39" i="43"/>
  <c r="E38" i="43"/>
  <c r="E30" i="43"/>
  <c r="G29" i="43"/>
  <c r="F30" i="43"/>
  <c r="F29" i="43"/>
  <c r="H29" i="43"/>
  <c r="H30" i="43" l="1"/>
  <c r="G30" i="43"/>
  <c r="E50" i="43"/>
  <c r="D40" i="43"/>
  <c r="E39" i="43"/>
  <c r="E51" i="43" l="1"/>
  <c r="G31" i="43"/>
  <c r="F31" i="43"/>
  <c r="H31" i="43"/>
  <c r="D41" i="43"/>
  <c r="E40" i="43"/>
  <c r="E41" i="43" l="1"/>
  <c r="D42" i="43"/>
  <c r="F32" i="43"/>
  <c r="G32" i="43"/>
  <c r="H32" i="43"/>
  <c r="E52" i="43"/>
  <c r="F33" i="43" l="1"/>
  <c r="H33" i="43"/>
  <c r="G33" i="43"/>
  <c r="E53" i="43"/>
  <c r="E42" i="43"/>
  <c r="E54" i="43" l="1"/>
  <c r="F34" i="43"/>
  <c r="G34" i="43"/>
  <c r="H34" i="43"/>
  <c r="F35" i="43" l="1"/>
  <c r="G35" i="43"/>
  <c r="H35" i="43"/>
  <c r="F36" i="43" l="1"/>
  <c r="G36" i="43"/>
  <c r="H36" i="43"/>
  <c r="F37" i="43" l="1"/>
  <c r="G37" i="43"/>
  <c r="H37" i="43"/>
  <c r="F38" i="43" l="1"/>
  <c r="G38" i="43"/>
  <c r="H38" i="43"/>
  <c r="F39" i="43" l="1"/>
  <c r="G39" i="43"/>
  <c r="H39" i="43"/>
  <c r="F40" i="43" l="1"/>
  <c r="G40" i="43"/>
  <c r="H40" i="43"/>
  <c r="F41" i="43" l="1"/>
  <c r="G41" i="43"/>
  <c r="H41" i="43"/>
  <c r="F42" i="43" l="1"/>
  <c r="G42" i="43"/>
  <c r="H42" i="43"/>
  <c r="G43" i="43" l="1"/>
  <c r="F43" i="43"/>
  <c r="H43" i="43"/>
  <c r="G44" i="43" l="1"/>
  <c r="F44" i="43"/>
  <c r="H44" i="43"/>
  <c r="G45" i="43" l="1"/>
  <c r="F45" i="43"/>
  <c r="H45" i="43"/>
  <c r="G46" i="43" l="1"/>
  <c r="F46" i="43"/>
  <c r="H46" i="43"/>
  <c r="G47" i="43" l="1"/>
  <c r="F47" i="43"/>
  <c r="H47" i="43"/>
  <c r="G48" i="43" l="1"/>
  <c r="F48" i="43"/>
  <c r="H48" i="43"/>
  <c r="F49" i="43" l="1"/>
  <c r="G49" i="43"/>
  <c r="H49" i="43"/>
  <c r="G50" i="43" l="1"/>
  <c r="F50" i="43"/>
  <c r="H50" i="43"/>
  <c r="F51" i="43" l="1"/>
  <c r="G51" i="43"/>
  <c r="H51" i="43"/>
  <c r="G52" i="43" l="1"/>
  <c r="F52" i="43"/>
  <c r="H52" i="43"/>
  <c r="G53" i="43" l="1"/>
  <c r="F53" i="43"/>
  <c r="H53" i="43"/>
  <c r="G54" i="43" l="1"/>
  <c r="F54" i="43"/>
  <c r="H54" i="43"/>
  <c r="H55" i="43" l="1"/>
  <c r="G55" i="43"/>
  <c r="F55" i="43"/>
  <c r="H56" i="43" l="1"/>
  <c r="G56" i="43"/>
  <c r="F56" i="43"/>
  <c r="G57" i="43" l="1"/>
  <c r="G58" i="43" s="1"/>
  <c r="B119" i="43" s="1"/>
  <c r="F57" i="43"/>
  <c r="F58" i="43" s="1"/>
  <c r="H57" i="43"/>
  <c r="H58" i="43" s="1"/>
  <c r="B120" i="43" s="1"/>
  <c r="C64" i="43" l="1"/>
  <c r="C66" i="43" s="1"/>
  <c r="D116" i="43"/>
  <c r="E64" i="43"/>
  <c r="C104" i="43"/>
  <c r="D64" i="43"/>
  <c r="C103" i="43"/>
  <c r="D66" i="43"/>
  <c r="E66" i="43" s="1"/>
  <c r="C120" i="43" l="1"/>
  <c r="C119" i="43"/>
  <c r="D119" i="43" s="1"/>
  <c r="D120" i="43"/>
  <c r="A57" i="42" l="1"/>
  <c r="A56" i="42"/>
  <c r="A55" i="42"/>
  <c r="A60" i="42" s="1"/>
  <c r="C62" i="42"/>
  <c r="C61" i="42"/>
  <c r="C60" i="42"/>
  <c r="D51" i="42"/>
  <c r="D54" i="42" s="1"/>
  <c r="D50" i="42"/>
  <c r="C54" i="42" s="1"/>
  <c r="B57" i="42"/>
  <c r="B56" i="42" s="1"/>
  <c r="B55" i="42" s="1"/>
  <c r="A61" i="42" l="1"/>
  <c r="C55" i="42"/>
  <c r="E55" i="42" s="1"/>
  <c r="C56" i="42"/>
  <c r="E56" i="42" s="1"/>
  <c r="C57" i="42"/>
  <c r="E57" i="42" s="1"/>
  <c r="D56" i="42"/>
  <c r="F56" i="42" s="1"/>
  <c r="D55" i="42"/>
  <c r="F55" i="42" s="1"/>
  <c r="D57" i="42"/>
  <c r="F57" i="42" s="1"/>
  <c r="A62" i="42"/>
  <c r="B60" i="42" l="1"/>
  <c r="D60" i="42" s="1"/>
  <c r="B61" i="42"/>
  <c r="D61" i="42" s="1"/>
  <c r="B62" i="42"/>
  <c r="D62" i="42" s="1"/>
  <c r="C68" i="42" l="1"/>
  <c r="D61" i="41" l="1"/>
  <c r="D60" i="41"/>
  <c r="C50" i="41"/>
  <c r="D50" i="41" s="1"/>
  <c r="B51" i="41"/>
  <c r="B50" i="41"/>
  <c r="B49" i="41"/>
  <c r="B48" i="41"/>
  <c r="B47" i="41"/>
  <c r="B46" i="41"/>
  <c r="B45" i="41"/>
  <c r="A50" i="41"/>
  <c r="A49" i="41" s="1"/>
  <c r="A48" i="41" s="1"/>
  <c r="A47" i="41" s="1"/>
  <c r="A46" i="41" s="1"/>
  <c r="A45" i="41" s="1"/>
  <c r="D62" i="41" l="1"/>
  <c r="C49" i="41"/>
  <c r="E50" i="41"/>
  <c r="C48" i="41" l="1"/>
  <c r="E49" i="41"/>
  <c r="D49" i="41"/>
  <c r="C47" i="41" l="1"/>
  <c r="E48" i="41"/>
  <c r="D48" i="41"/>
  <c r="C46" i="41" l="1"/>
  <c r="E47" i="41"/>
  <c r="D47" i="41"/>
  <c r="C45" i="41" l="1"/>
  <c r="D46" i="41"/>
  <c r="E46" i="41"/>
  <c r="B106" i="36"/>
  <c r="C105" i="36"/>
  <c r="B105" i="36"/>
  <c r="D104" i="36"/>
  <c r="C104" i="36"/>
  <c r="B104" i="36"/>
  <c r="E103" i="36"/>
  <c r="D103" i="36"/>
  <c r="C103" i="36"/>
  <c r="C110" i="36" s="1"/>
  <c r="B103" i="36"/>
  <c r="A117" i="36"/>
  <c r="A118" i="36" s="1"/>
  <c r="A119" i="36" s="1"/>
  <c r="A111" i="36"/>
  <c r="A112" i="36" s="1"/>
  <c r="A113" i="36" s="1"/>
  <c r="A110" i="36"/>
  <c r="A104" i="36"/>
  <c r="A105" i="36" s="1"/>
  <c r="A106" i="36" s="1"/>
  <c r="A103" i="36"/>
  <c r="A96" i="36"/>
  <c r="A97" i="36" s="1"/>
  <c r="A98" i="36" s="1"/>
  <c r="A99" i="36" s="1"/>
  <c r="E123" i="36"/>
  <c r="C109" i="36"/>
  <c r="B116" i="36" s="1"/>
  <c r="C102" i="36"/>
  <c r="D102" i="36" s="1"/>
  <c r="E102" i="36" s="1"/>
  <c r="C95" i="36"/>
  <c r="D95" i="36" s="1"/>
  <c r="E95" i="36" s="1"/>
  <c r="E83" i="36"/>
  <c r="D84" i="36"/>
  <c r="D83" i="36"/>
  <c r="C85" i="36"/>
  <c r="C84" i="36"/>
  <c r="C83" i="36"/>
  <c r="B86" i="36"/>
  <c r="B85" i="36"/>
  <c r="B84" i="36"/>
  <c r="B83" i="36"/>
  <c r="A83" i="36"/>
  <c r="A84" i="36" s="1"/>
  <c r="A85" i="36" s="1"/>
  <c r="A86" i="36" s="1"/>
  <c r="C82" i="36"/>
  <c r="D82" i="36" s="1"/>
  <c r="E82" i="36" s="1"/>
  <c r="E63" i="36"/>
  <c r="D64" i="36"/>
  <c r="D63" i="36"/>
  <c r="D70" i="36" s="1"/>
  <c r="D73" i="36" s="1"/>
  <c r="C65" i="36"/>
  <c r="C64" i="36"/>
  <c r="C63" i="36"/>
  <c r="B66" i="36"/>
  <c r="B65" i="36"/>
  <c r="B64" i="36"/>
  <c r="B63" i="36"/>
  <c r="C69" i="36"/>
  <c r="D69" i="36" s="1"/>
  <c r="E69" i="36" s="1"/>
  <c r="A63" i="36"/>
  <c r="A64" i="36" s="1"/>
  <c r="C62" i="36"/>
  <c r="D62" i="36" s="1"/>
  <c r="E62" i="36" s="1"/>
  <c r="B48" i="36"/>
  <c r="B99" i="36" s="1"/>
  <c r="B98" i="36" s="1"/>
  <c r="B97" i="36" s="1"/>
  <c r="B96" i="36" s="1"/>
  <c r="B110" i="36" s="1"/>
  <c r="C47" i="36"/>
  <c r="C98" i="36" s="1"/>
  <c r="C97" i="36" s="1"/>
  <c r="C96" i="36" s="1"/>
  <c r="B47" i="36"/>
  <c r="D46" i="36"/>
  <c r="D97" i="36" s="1"/>
  <c r="D96" i="36" s="1"/>
  <c r="C46" i="36"/>
  <c r="B46" i="36"/>
  <c r="E45" i="36"/>
  <c r="E96" i="36" s="1"/>
  <c r="D45" i="36"/>
  <c r="C45" i="36"/>
  <c r="B45" i="36"/>
  <c r="A45" i="36"/>
  <c r="C51" i="36"/>
  <c r="D51" i="36" s="1"/>
  <c r="E51" i="36" s="1"/>
  <c r="C44" i="36"/>
  <c r="D44" i="36" s="1"/>
  <c r="E44" i="36" s="1"/>
  <c r="Q25" i="50"/>
  <c r="U25" i="50" s="1"/>
  <c r="D45" i="41" l="1"/>
  <c r="D52" i="41" s="1"/>
  <c r="D55" i="41" s="1"/>
  <c r="E45" i="41"/>
  <c r="E52" i="41" s="1"/>
  <c r="E55" i="41" s="1"/>
  <c r="D63" i="41" s="1"/>
  <c r="D110" i="36"/>
  <c r="E110" i="36"/>
  <c r="B111" i="36"/>
  <c r="C111" i="36"/>
  <c r="D111" i="36"/>
  <c r="B112" i="36"/>
  <c r="C112" i="36"/>
  <c r="B113" i="36"/>
  <c r="D117" i="36"/>
  <c r="D120" i="36" s="1"/>
  <c r="D121" i="36" s="1"/>
  <c r="C117" i="36"/>
  <c r="D109" i="36"/>
  <c r="B71" i="36"/>
  <c r="C70" i="36"/>
  <c r="B72" i="36"/>
  <c r="C53" i="36"/>
  <c r="C71" i="36"/>
  <c r="B70" i="36"/>
  <c r="A65" i="36"/>
  <c r="A70" i="36"/>
  <c r="B52" i="36"/>
  <c r="C52" i="36"/>
  <c r="D52" i="36"/>
  <c r="B53" i="36"/>
  <c r="B54" i="36"/>
  <c r="B118" i="36" l="1"/>
  <c r="C118" i="36"/>
  <c r="C120" i="36" s="1"/>
  <c r="C122" i="36" s="1"/>
  <c r="C121" i="36"/>
  <c r="B121" i="36"/>
  <c r="B119" i="36"/>
  <c r="D122" i="36"/>
  <c r="D123" i="36" s="1"/>
  <c r="C116" i="36"/>
  <c r="E109" i="36"/>
  <c r="E116" i="36" s="1"/>
  <c r="B117" i="36"/>
  <c r="C73" i="36"/>
  <c r="B73" i="36"/>
  <c r="D55" i="36"/>
  <c r="C55" i="36"/>
  <c r="A66" i="36"/>
  <c r="A72" i="36" s="1"/>
  <c r="A71" i="36"/>
  <c r="B55" i="36"/>
  <c r="A46" i="36"/>
  <c r="C123" i="36" l="1"/>
  <c r="B120" i="36"/>
  <c r="B122" i="36" s="1"/>
  <c r="B123" i="36" s="1"/>
  <c r="E125" i="36" s="1"/>
  <c r="E126" i="36" s="1"/>
  <c r="D116" i="36"/>
  <c r="A47" i="36"/>
  <c r="A52" i="36"/>
  <c r="A48" i="36" l="1"/>
  <c r="A54" i="36" s="1"/>
  <c r="A53" i="36"/>
</calcChain>
</file>

<file path=xl/sharedStrings.xml><?xml version="1.0" encoding="utf-8"?>
<sst xmlns="http://schemas.openxmlformats.org/spreadsheetml/2006/main" count="739" uniqueCount="488">
  <si>
    <t>(c)</t>
  </si>
  <si>
    <t>ANSWER:</t>
  </si>
  <si>
    <t>(d)</t>
  </si>
  <si>
    <t>(e)</t>
  </si>
  <si>
    <t>(a)</t>
  </si>
  <si>
    <t>(b)</t>
  </si>
  <si>
    <t>(f)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</si>
  <si>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</t>
    </r>
  </si>
  <si>
    <t>Question 1</t>
  </si>
  <si>
    <r>
      <t>(</t>
    </r>
    <r>
      <rPr>
        <i/>
        <sz val="12"/>
        <color rgb="FF002060"/>
        <rFont val="Times New Roman"/>
        <family val="1"/>
      </rPr>
      <t>5 points</t>
    </r>
    <r>
      <rPr>
        <sz val="12"/>
        <color rgb="FF002060"/>
        <rFont val="Times New Roman"/>
        <family val="1"/>
      </rPr>
      <t>)</t>
    </r>
  </si>
  <si>
    <t>You may choose to draw on this diagram to assist you in responding to this question. Use of this diagram is not required for full credit.</t>
  </si>
  <si>
    <t>You are given:</t>
  </si>
  <si>
    <r>
      <t>(</t>
    </r>
    <r>
      <rPr>
        <i/>
        <sz val="12"/>
        <color rgb="FF002060"/>
        <rFont val="Times New Roman"/>
        <family val="1"/>
      </rPr>
      <t>6 points</t>
    </r>
    <r>
      <rPr>
        <sz val="12"/>
        <color rgb="FF002060"/>
        <rFont val="Times New Roman"/>
        <family val="1"/>
      </rPr>
      <t>)</t>
    </r>
  </si>
  <si>
    <t>Accident</t>
  </si>
  <si>
    <t>Year</t>
  </si>
  <si>
    <t>Reported Claims</t>
  </si>
  <si>
    <t>Cumulative Paid Claims</t>
  </si>
  <si>
    <t xml:space="preserve">Reported Claim Counts </t>
  </si>
  <si>
    <t xml:space="preserve">Closed Claim Counts 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</si>
  <si>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Verify that the adequacy of case estimates has increased using two diagnostic tests.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</si>
  <si>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Verify that a change in claim settlement pattern has not occurred using one diagnostic test.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</si>
  <si>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IBNR for accident year 2023 using the reported development method with a Berquist-Sherman adjustment.</t>
    </r>
  </si>
  <si>
    <t>Question 2</t>
  </si>
  <si>
    <t>You are estimating ultimate claims as of December 31, 2023 using the expected method.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</si>
  <si>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one advantage of using the pure premium approach rather than the claim ratio approach when using the expected method.</t>
    </r>
  </si>
  <si>
    <t>Accident Year</t>
  </si>
  <si>
    <t>Earned Exposures</t>
  </si>
  <si>
    <t>Earned Premiums</t>
  </si>
  <si>
    <t>Premium On-Level Factors</t>
  </si>
  <si>
    <t>Actual Paid Claims as of Dec. 31, 2023</t>
  </si>
  <si>
    <t>Cumulative Paid Development Factors</t>
  </si>
  <si>
    <t>Total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</si>
  <si>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ratio trend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</si>
  <si>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are no partial payments.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</si>
  <si>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is no reported development after 48 months.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</si>
  <si>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severity trend is </t>
    </r>
  </si>
  <si>
    <t>Claim ratio</t>
  </si>
  <si>
    <t>Pure premium</t>
  </si>
  <si>
    <t xml:space="preserve">(i) </t>
  </si>
  <si>
    <t xml:space="preserve">(ii) 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</si>
  <si>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expected claims for accident year 2023 using the expected method with the following approaches: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</si>
  <si>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Estimate accident year 2023 paid claims between December 31, 2023 and December 31, 2024 using your results from part (c)(ii).</t>
    </r>
  </si>
  <si>
    <t>Credibility procedures often require the actuary to exercise professional judgment as the assignment of a credibility value is frequently not a precise mathematical exercise.  One consideration in assigning credibility is the volume of claims in the experience set of data.</t>
  </si>
  <si>
    <t>Question 3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</si>
  <si>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Identify two other considerations in assigning credibility to an experience set of data.</t>
    </r>
  </si>
  <si>
    <t>You are estimating ultimate property claims for ratemaking purposes for State Z.  The claims experience of State Z is not fully credible for calculating trend.  You are given the following:</t>
  </si>
  <si>
    <t>Selected Ultimate Claims at 1,000,000 Limit</t>
  </si>
  <si>
    <t>Selected Ultimate Claims at Total Limits</t>
  </si>
  <si>
    <t>Selections</t>
  </si>
  <si>
    <t>1,000,000 Limit</t>
  </si>
  <si>
    <t>Total Limits</t>
  </si>
  <si>
    <t>Severity Trend State Z</t>
  </si>
  <si>
    <t>Pure Premium Trend State Z</t>
  </si>
  <si>
    <t>Credibility State Z</t>
  </si>
  <si>
    <t>Countrywide Severity Trend</t>
  </si>
  <si>
    <t>Countrywide Pure Premium Trend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</si>
  <si>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claim trend period for accident year 2023 is </t>
    </r>
  </si>
  <si>
    <t xml:space="preserve"> months.</t>
  </si>
  <si>
    <t>You are given the following loadings for large claims for the 500,000 to 1 million limit: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</si>
  <si>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loadings for 500,000 to total limits for each accident year.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</si>
  <si>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a loading for 500,000 to total limits for ratemaking purposes.  Justify your recommendation.</t>
    </r>
  </si>
  <si>
    <t>Question 4</t>
  </si>
  <si>
    <t>ABC Insurance is a new insurer that started writing business in 2021.  You are given: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</si>
  <si>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One policy was written on the first day of each month from April 2021 to March 2024, for a total of 36 policies.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</si>
  <si>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Each policy is a two-year policy.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</si>
  <si>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are no cancellations or changes to policies.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</si>
  <si>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None of the policies were renewed upon expiration.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</si>
  <si>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Policies are earned evenly through the policy term.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</si>
  <si>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earned premiums are:</t>
    </r>
  </si>
  <si>
    <t>Calendar Year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</si>
  <si>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two-year premium of </t>
    </r>
  </si>
  <si>
    <t xml:space="preserve"> per policy is recorded on the effective date of each policy.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</si>
  <si>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 xml:space="preserve">)  Verify the earned premiums for calendar years 2021, 2022, and 2023. 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</si>
  <si>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unearned premiums as of each year-end for 2021, 2022, and 2023.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</si>
  <si>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 xml:space="preserve">)  Calculate in-force premiums as of December 31, 2023. </t>
    </r>
  </si>
  <si>
    <t>DEF Insurance is another insurer.  DEF’s total in-force premiums are 50% of ABC’s total in-force premiums.  A market analyst is comparing total in-force premiums and concludes that DEF has lower written premium volume than ABC Insurance.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</si>
  <si>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a scenario where the market analyst’s conclusion would be incorrect.</t>
    </r>
  </si>
  <si>
    <t>The following claim development triangle is given for ABC Insurance:</t>
  </si>
  <si>
    <t xml:space="preserve">Reported Claims 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</si>
  <si>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reported claim ratios for each of calendar years 2022 and 2023.</t>
    </r>
  </si>
  <si>
    <t>You are also given: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</si>
  <si>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is no development beyond 36 months.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</si>
  <si>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Ultimate claim ratios for accident years 2022 and 2023 are the same as accident year 2021.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</si>
  <si>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IBNR for accident years 2022 and 2023.</t>
    </r>
  </si>
  <si>
    <t>Question 5</t>
  </si>
  <si>
    <t>You are conducting a ratemaking exercise and are given:</t>
  </si>
  <si>
    <t>Trended Earned Premiums at Current Rate Levels</t>
  </si>
  <si>
    <t>Ultimate Claims</t>
  </si>
  <si>
    <t>Trended Ultimate Claims</t>
  </si>
  <si>
    <t>The pure premium and claim ratio approaches typically provide similar indicated rate changes.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</si>
  <si>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average claim ratio and the average pure premium are calculated using a simple average of all years.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</si>
  <si>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indicated rate change using the claim ratio approach is 5.91%.</t>
    </r>
  </si>
  <si>
    <t xml:space="preserve"> of premiums.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</si>
  <si>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ULAE to claim ratio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</si>
  <si>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selected fixed expenses are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</si>
  <si>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selected variable expenses are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</si>
  <si>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selected profit and contingency ratio is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</si>
  <si>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Demonstrate that the indicated rate change using the pure premium approach is similar to that using the claim ratio approach (i.e., ±0.5% of 5.91%).</t>
    </r>
  </si>
  <si>
    <t>In general, there are two reasons why there can be a slight difference between indicated rate changes from the claim ratio approach versus the pure premium approach.</t>
  </si>
  <si>
    <r>
      <t>(</t>
    </r>
    <r>
      <rPr>
        <i/>
        <sz val="12"/>
        <color rgb="FF002060"/>
        <rFont val="Times New Roman"/>
        <family val="1"/>
      </rPr>
      <t>0.5 point</t>
    </r>
    <r>
      <rPr>
        <sz val="12"/>
        <color rgb="FF002060"/>
        <rFont val="Times New Roman"/>
        <family val="1"/>
      </rPr>
      <t>)  Describe one such reason.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</si>
  <si>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profit and contingencies ratio implied by increasing the rates by 2%.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</si>
  <si>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how implementing a lower rate change than indicated will result in higher rate indications for the next rate review using the claim ratio approach.</t>
    </r>
  </si>
  <si>
    <t xml:space="preserve"> rate indication from the claim ratio approach.</t>
  </si>
  <si>
    <t xml:space="preserve">Your company’s management decides to increase rates by </t>
  </si>
  <si>
    <t xml:space="preserve"> instead of the </t>
  </si>
  <si>
    <t>Question 6</t>
  </si>
  <si>
    <t>Direct Written Premium</t>
  </si>
  <si>
    <t>Direct Earned Premiums</t>
  </si>
  <si>
    <t>Total Commission Expenses and Premium Taxes</t>
  </si>
  <si>
    <t>General Expenses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</si>
  <si>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Fixed expenses are incurred at the time of writing each policy.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</si>
  <si>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Premiums are written evenly throughout the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</si>
  <si>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were written for 6-month terms.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</si>
  <si>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the total variable expense ratio to use in ratemaking.  Justify your recommendation.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</si>
  <si>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Recommend the fixed expense per exposure to use in ratemaking.  Justify your recommendation.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</si>
  <si>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Fixed expenses are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</si>
  <si>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trend for fixed expenses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</si>
  <si>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New rates will be effective </t>
    </r>
  </si>
  <si>
    <t xml:space="preserve"> for one year.</t>
  </si>
  <si>
    <t>Question 7</t>
  </si>
  <si>
    <t>The response for question 7 is to be provided in the Word document.</t>
  </si>
  <si>
    <t>Question 8</t>
  </si>
  <si>
    <t>You are estimating claim trend by fitting historical data using exponential regression.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</si>
  <si>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one reason for relying on a longer period of time when trending a long-tailed line of business.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</si>
  <si>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an example where a longer period of time may not be appropriate for trending a long-tailed line of business.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</si>
  <si>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State two considerations when selecting which data points to include in trending procedures.</t>
    </r>
  </si>
  <si>
    <t>You are given the following for a ratemaking exercise: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</si>
  <si>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40% of all written policies are expected to be twelve-month policies.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</si>
  <si>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60% of all written policies are expected to be six-month policies.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</si>
  <si>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exponential regression best fit lines, where </t>
    </r>
    <r>
      <rPr>
        <i/>
        <sz val="12"/>
        <color rgb="FF002060"/>
        <rFont val="Times New Roman"/>
        <family val="1"/>
      </rPr>
      <t>t</t>
    </r>
    <r>
      <rPr>
        <sz val="12"/>
        <color rgb="FF002060"/>
        <rFont val="Times New Roman"/>
        <family val="1"/>
      </rPr>
      <t xml:space="preserve"> is half years:</t>
    </r>
  </si>
  <si>
    <r>
      <t>o</t>
    </r>
    <r>
      <rPr>
        <sz val="7"/>
        <color rgb="FF002060"/>
        <rFont val="Times New Roman"/>
        <family val="1"/>
      </rPr>
      <t xml:space="preserve">   </t>
    </r>
    <r>
      <rPr>
        <sz val="12"/>
        <color rgb="FF002060"/>
        <rFont val="Times New Roman"/>
        <family val="1"/>
      </rPr>
      <t xml:space="preserve">Claim severity: </t>
    </r>
  </si>
  <si>
    <r>
      <t>o</t>
    </r>
    <r>
      <rPr>
        <sz val="7"/>
        <color rgb="FF002060"/>
        <rFont val="Times New Roman"/>
        <family val="1"/>
      </rPr>
      <t xml:space="preserve">   </t>
    </r>
    <r>
      <rPr>
        <sz val="12"/>
        <color rgb="FF002060"/>
        <rFont val="Times New Roman"/>
        <family val="1"/>
      </rPr>
      <t xml:space="preserve">Claim frequency: 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</si>
  <si>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pure premium trend factor for accident year 2022.</t>
    </r>
  </si>
  <si>
    <t>Question 9</t>
  </si>
  <si>
    <r>
      <t>(</t>
    </r>
    <r>
      <rPr>
        <i/>
        <sz val="12"/>
        <color rgb="FF002060"/>
        <rFont val="Times New Roman"/>
        <family val="1"/>
      </rPr>
      <t>7 points</t>
    </r>
    <r>
      <rPr>
        <sz val="12"/>
        <color rgb="FF002060"/>
        <rFont val="Times New Roman"/>
        <family val="1"/>
      </rPr>
      <t>)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</si>
  <si>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a weakness of the classical paid-to-paid method that the Kittel refinement is intended to address.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</si>
  <si>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why unallocated loss adjustment expenses (ULAE) are usually analyzed on a calendar year basis.</t>
    </r>
  </si>
  <si>
    <t>Count-based ULAE methods resolve two major drawbacks of ratio-based ULAE methods.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</si>
  <si>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these two major drawbacks.</t>
    </r>
  </si>
  <si>
    <t>You are given the following information for estimating unpaid ULAE as of December 31, 2023:</t>
  </si>
  <si>
    <t>Calendar</t>
  </si>
  <si>
    <t>Paid</t>
  </si>
  <si>
    <t>Claims</t>
  </si>
  <si>
    <t>ULAE</t>
  </si>
  <si>
    <t>Case Estimates</t>
  </si>
  <si>
    <t>IBNER</t>
  </si>
  <si>
    <t>IBNYR</t>
  </si>
  <si>
    <t>As of</t>
  </si>
  <si>
    <t>Dec. 31, 2023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</si>
  <si>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Estimate unpaid ULAE as of December 31, 2023 using the classical paid-to-paid method.</t>
    </r>
  </si>
  <si>
    <t>You are given the following additional information to estimate unpaid ULAE using the Wendy Johnson count-based method.</t>
  </si>
  <si>
    <t>Historical ULAE Counts</t>
  </si>
  <si>
    <t>Newly Reported</t>
  </si>
  <si>
    <t>Open</t>
  </si>
  <si>
    <t>Closed</t>
  </si>
  <si>
    <t>Projected ULAE Counts</t>
  </si>
  <si>
    <t>Claim Count Weights</t>
  </si>
  <si>
    <t>Newly reported counts</t>
  </si>
  <si>
    <t>Open counts</t>
  </si>
  <si>
    <t>Closed counts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</si>
  <si>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Historical annual expense trend through 2023 has been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</si>
  <si>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Prospective annual expense trend after 2023 is expected to be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</si>
  <si>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Demonstrate that the projected open counts for calendar years 2024, 2025, and 2026 are calculated correctly based on newly reported claims and closed claims.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</si>
  <si>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Estimate unpaid ULAE as of December 31, 2023 using the Wendy Johnson method.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</si>
  <si>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Approximately </t>
    </r>
  </si>
  <si>
    <t xml:space="preserve"> of claim department expenses relate to opening a claim file and </t>
  </si>
  <si>
    <t xml:space="preserve">  relate to maintaining </t>
  </si>
  <si>
    <t xml:space="preserve">     and closing a claim file.</t>
  </si>
  <si>
    <t>Question 10</t>
  </si>
  <si>
    <t xml:space="preserve">General liability claims may have a long lag between the occurrence date and the report date. 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</si>
  <si>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an example of another line of business that often has a long lag between the occurrence date and the report date.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</si>
  <si>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an example of a line of business where claim files are commonly reopened.</t>
    </r>
  </si>
  <si>
    <t xml:space="preserve">Cumulative Paid Claims </t>
  </si>
  <si>
    <t xml:space="preserve">A legislative change became effective July 1, 2021, reducing claim costs </t>
  </si>
  <si>
    <t xml:space="preserve"> for all claims paid on or after this date.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</si>
  <si>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Construct a revised cumulative paid claims triangle adjusted for the legislative change.</t>
    </r>
  </si>
  <si>
    <t>Projected Earned Exposures</t>
  </si>
  <si>
    <t>Projected Ultimate Claims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</si>
  <si>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frequency trend is expected to be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</si>
  <si>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severity trend is expected to be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</si>
  <si>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2023 cost level claim frequency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</si>
  <si>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2023 cost level severity is 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</si>
  <si>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Verify the projected ultimate claims for accident years 2024 and 2025.</t>
    </r>
  </si>
  <si>
    <t>The ultimate claims for all accident years are estimated as: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</si>
  <si>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claims expected to be paid in calendar years 2024 and 2025, using the results from part (c).</t>
    </r>
  </si>
  <si>
    <t>Question 11</t>
  </si>
  <si>
    <t>Your company started writing a new line of business on March 1, 2022.  You are conducting a ratemaking analysis for this line of business and are given the following:</t>
  </si>
  <si>
    <t>Historical Rate Changes Since March 1, 2022</t>
  </si>
  <si>
    <t>Effective Date of Rate Change</t>
  </si>
  <si>
    <t>Rate Change</t>
  </si>
  <si>
    <t>You are adjusting historical earned premiums to the future rating period.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</si>
  <si>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first policy was issued March 1, 2022.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</si>
  <si>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Premiums are earned evenly throughout the policy term.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</si>
  <si>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were written for 12-month terms.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</si>
  <si>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have been no rate changes since January 1, 2024.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</si>
  <si>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New rates will be effective April 1, 2025, for one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</si>
  <si>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premium trend is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</si>
  <si>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on-level premium factors for calendar year 2022 and 2023.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</si>
  <si>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premium trend factors for calendar year 2022 and 2023.</t>
    </r>
  </si>
  <si>
    <t>Question 12</t>
  </si>
  <si>
    <t>You are given the following information for estimating ultimate claims: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</si>
  <si>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This was a new book of business in 2019.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</si>
  <si>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 rate change of –5% was effective January 1, 2022.  There were no other rate changes.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</si>
  <si>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original Bondy method is used to estimate a tail factor at 60 months.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</si>
  <si>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expected claim ratio based on industry data is 65% for all accident years.  However, management is uncertain that industry data is representative of this book of business.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</si>
  <si>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An unusual large claim of</t>
    </r>
  </si>
  <si>
    <t xml:space="preserve"> occurred in accident year 2021.  The claim was first reported in September 2022 </t>
  </si>
  <si>
    <t xml:space="preserve">      and the claim estimate has not changed.  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</si>
  <si>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projected ultimate claims for all accident years using the development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</si>
  <si>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the appropriateness of selecting the development method for this line of business.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</si>
  <si>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projected ultimate claims for all accident years using the Bornhuetter Ferguson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</si>
  <si>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the appropriateness of selecting the Bornhuetter Ferguson method for this line of business.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</si>
  <si>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projected ultimate claims for all accident years using the Cape Cod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</si>
  <si>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the appropriateness of selecting the Cape Cod method for this line of business.</t>
    </r>
  </si>
  <si>
    <t>Question 13</t>
  </si>
  <si>
    <t>You are estimating ultimate claims using a frequency-severity method, and are given:</t>
  </si>
  <si>
    <t> Accident Year</t>
  </si>
  <si>
    <t>Reported Claims as of Dec. 31, 2023</t>
  </si>
  <si>
    <t>Projected Ultimate Based on Development Method</t>
  </si>
  <si>
    <t>Counts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</si>
  <si>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A court ruling expanded policy coverage for claims occurring on or after January 1, 2023. 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</si>
  <si>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earned exposures are not sensitive to inflation.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</si>
  <si>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court ruling increased claim frequency by </t>
    </r>
  </si>
  <si>
    <t xml:space="preserve"> but had no effect on claim severity.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</si>
  <si>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an annual claim frequency trend.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</si>
  <si>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projected ultimate claims for all accident years using the development-based frequency-severity method.</t>
    </r>
  </si>
  <si>
    <t>Other projection methods use triangles of closed count ratios.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</si>
  <si>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 xml:space="preserve">)  Describe how to calculate the </t>
    </r>
    <r>
      <rPr>
        <i/>
        <sz val="12"/>
        <color rgb="FF002060"/>
        <rFont val="Times New Roman"/>
        <family val="1"/>
      </rPr>
      <t>proportion of closed counts</t>
    </r>
    <r>
      <rPr>
        <sz val="12"/>
        <color rgb="FF002060"/>
        <rFont val="Times New Roman"/>
        <family val="1"/>
      </rPr>
      <t xml:space="preserve"> triangle when using the frequency-severity closure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</si>
  <si>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 xml:space="preserve">)  Describe how to calculate the triangle of </t>
    </r>
    <r>
      <rPr>
        <i/>
        <sz val="12"/>
        <color rgb="FF002060"/>
        <rFont val="Times New Roman"/>
        <family val="1"/>
      </rPr>
      <t>disposal ratios</t>
    </r>
    <r>
      <rPr>
        <sz val="12"/>
        <color rgb="FF002060"/>
        <rFont val="Times New Roman"/>
        <family val="1"/>
      </rPr>
      <t xml:space="preserve"> when using the Berquist-Sherman adjustment for changing settlement rates.</t>
    </r>
  </si>
  <si>
    <t>500,000 to 1 Million Limit</t>
  </si>
  <si>
    <t xml:space="preserve"> of general expenses.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</si>
  <si>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total variable expense ratio for each of calendar years 2019 to 2023.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</si>
  <si>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accident year 2022 trend period for 12-month policies is 45 months.</t>
    </r>
  </si>
  <si>
    <t>Implementing a lower rate change than indicated will result in higher rate indications for the next rate review, all other things being equal.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</si>
  <si>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one reason why the expected method might be preferred over the development method in this scenario for analyzing accident year 2023 claims.</t>
    </r>
  </si>
  <si>
    <t>Change in average case:</t>
  </si>
  <si>
    <t>Average Case</t>
  </si>
  <si>
    <t>Change in Average Case</t>
  </si>
  <si>
    <t>Average:</t>
  </si>
  <si>
    <t xml:space="preserve"> - evidence of change in case adequacy would show up as a change in the latest diagonals significantly different than 5%, which it is.</t>
  </si>
  <si>
    <t>Change in average reported claims:</t>
  </si>
  <si>
    <t xml:space="preserve"> - evidence of change in case adequacy would show up as a change in the latest diagonals significantly different than 5%, which it is but not as significantly as change in average case estimates.</t>
  </si>
  <si>
    <t>AY</t>
  </si>
  <si>
    <t>Ratio of Closed Counts to Reported Counts</t>
  </si>
  <si>
    <t xml:space="preserve"> - there is no change in these ratios and therefore no evidence of a change in claim settlement pattern.</t>
  </si>
  <si>
    <t>Adjusted Average Case Estimates</t>
  </si>
  <si>
    <t>Open Counts</t>
  </si>
  <si>
    <t>Adjusted Reported Claims</t>
  </si>
  <si>
    <t>Average</t>
  </si>
  <si>
    <t>Selected:</t>
  </si>
  <si>
    <t>AY 2023 ultimate claims:</t>
  </si>
  <si>
    <t>Age-to-ultimate</t>
  </si>
  <si>
    <t>Age-to-Age Development Factors</t>
  </si>
  <si>
    <t>Average Reported Claims</t>
  </si>
  <si>
    <t>Change in Average Reported Claims</t>
  </si>
  <si>
    <t xml:space="preserve"> - if there has been a change in claim settlement in 2023, the latest diagonal should show noticeable increase or decrease in the ratios</t>
  </si>
  <si>
    <t>Weighted Avg.</t>
  </si>
  <si>
    <t>AY 2023 IBNR:</t>
  </si>
  <si>
    <t>- No adjustment is required for premium rate changes.</t>
  </si>
  <si>
    <t>- It may be possible to choose an exposure base that requires no adjustments.</t>
  </si>
  <si>
    <t>Any one of the following is acceptable:</t>
  </si>
  <si>
    <t>Trended On-Level Claim Ratios</t>
  </si>
  <si>
    <t>Trended Pure Premiums</t>
  </si>
  <si>
    <t>Project Ultimate Claims from Paid Development Method</t>
  </si>
  <si>
    <t>Claim Ratio Trend Factor</t>
  </si>
  <si>
    <t>Expected claims for accident year 2023:</t>
  </si>
  <si>
    <t>(i)</t>
  </si>
  <si>
    <t>(ii)</t>
  </si>
  <si>
    <t>% Paid @ 12 months:</t>
  </si>
  <si>
    <t>% Paid @ 24 months:</t>
  </si>
  <si>
    <t>- It may be possible to select a pure premium exposure base that is a leading indicator of claims experience.</t>
  </si>
  <si>
    <t>The age-to-ultimate factor at 12 months is very large (or highly leveraged) implying a very immature accident year.  The expected method is better for immature years.</t>
  </si>
  <si>
    <t>% Paid between 12 to 24 months:</t>
  </si>
  <si>
    <t>AY 2023 expected paid between 12 to 24 months:</t>
  </si>
  <si>
    <t>- The age, relevance, and reliability of other data to which the complement of credibility would be applied</t>
  </si>
  <si>
    <t>Any two of the following are acceptable:</t>
  </si>
  <si>
    <t>- The presence or absence of large or unusual claims</t>
  </si>
  <si>
    <t>- Changes in the internal or external environment</t>
  </si>
  <si>
    <t>- The age, relevance, and reliability of the experience</t>
  </si>
  <si>
    <t>- The number of years of claim data underlying the experience</t>
  </si>
  <si>
    <t>- The stability or variability observed in claims from year to year</t>
  </si>
  <si>
    <t>Loadings for 500,000 to 1,000,000 Limit</t>
  </si>
  <si>
    <t>Total Limit</t>
  </si>
  <si>
    <t>Severity Trend at:</t>
  </si>
  <si>
    <t>Trended Claims at</t>
  </si>
  <si>
    <t>Trend Period</t>
  </si>
  <si>
    <t>Loading for 1,000,000 to Total Limit</t>
  </si>
  <si>
    <t>Loadings for 500,000 to Total Limit</t>
  </si>
  <si>
    <t>Average of 2022 and 2023</t>
  </si>
  <si>
    <t xml:space="preserve"> - Accident year 2021 loading is much higher than 2022 &amp; 2023</t>
  </si>
  <si>
    <t xml:space="preserve"> - Therefore, use most recent 2 years as it is more stable and it uses the most recent data.</t>
  </si>
  <si>
    <t>Severity trend for 1,000,000 limit:</t>
  </si>
  <si>
    <t>Severity trend for total limit:</t>
  </si>
  <si>
    <t>Justification:</t>
  </si>
  <si>
    <t>Written Date</t>
  </si>
  <si>
    <t>Written Premium</t>
  </si>
  <si>
    <t>Months Earned in Calendar Year</t>
  </si>
  <si>
    <t>Earned Premium in Calendar Year</t>
  </si>
  <si>
    <t>Earned Premiums:</t>
  </si>
  <si>
    <t>Written premiums:</t>
  </si>
  <si>
    <t>Unearned premiums</t>
  </si>
  <si>
    <t>In-force premiums.</t>
  </si>
  <si>
    <t>There are 24 policies in-force as of December 31, 2023. (#10 through 33)</t>
  </si>
  <si>
    <t>- DEF writes the same volume of written premiums as ABC but annual term policies.</t>
  </si>
  <si>
    <t>- DEF writes the same volume of written premiums as ABC with 2-year term policies but books annually.</t>
  </si>
  <si>
    <t>IBNR</t>
  </si>
  <si>
    <t>Ultimate claim ratio for AY2021:</t>
  </si>
  <si>
    <t>Reported claims for CY2022:</t>
  </si>
  <si>
    <t>Reported claims for CY2023:</t>
  </si>
  <si>
    <t>Claim ratio for CY2022:</t>
  </si>
  <si>
    <t>Claim ratio for CY2023:</t>
  </si>
  <si>
    <t>Either of the following is acceptable:</t>
  </si>
  <si>
    <t>2023 trended earned premiums at current rate level</t>
  </si>
  <si>
    <t>Pure Premium</t>
  </si>
  <si>
    <t>Fixed expenses per exposure</t>
  </si>
  <si>
    <t>Average pure premium</t>
  </si>
  <si>
    <t>Ratio of ULAE to claims</t>
  </si>
  <si>
    <t>2023 earned exposures</t>
  </si>
  <si>
    <t>Current average rate</t>
  </si>
  <si>
    <t>This is withing 0.5% of 5.91%.</t>
  </si>
  <si>
    <t>First, solve for CR:    (CR + F/Rc) / (1 - V - Q) - 1 = 5.91%</t>
  </si>
  <si>
    <t xml:space="preserve">CR = </t>
  </si>
  <si>
    <t>Solve for Q, where (CR + F/Rc) / (1 - V - Q) - 1 = 2%</t>
  </si>
  <si>
    <t xml:space="preserve">Q = </t>
  </si>
  <si>
    <t>1 - V - (CR + F/Rc) / (1.02) =</t>
  </si>
  <si>
    <t>This will lead to higher claim ratios which will lead to higher rate indications for the next review than would have been had the full rate change been implemented.</t>
  </si>
  <si>
    <t>Implementing a lower rate increase than indicated would mean charging lower premiums than needed to achieve the required profit.</t>
  </si>
  <si>
    <t xml:space="preserve">The premium adjustment factors for trend and on-level factors are both approximations used to restate historical earned premiums as if they were at the current rate level and mix of exposures for the forecast period. </t>
  </si>
  <si>
    <t>Indicated rate</t>
  </si>
  <si>
    <t>Indicated Rate Change</t>
  </si>
  <si>
    <t>Variable</t>
  </si>
  <si>
    <t>As a % of Premiums</t>
  </si>
  <si>
    <t>Commission and Premium Tax Expense Ratio</t>
  </si>
  <si>
    <t>Total Variable Expense Ratio</t>
  </si>
  <si>
    <t>Variable General Expense Ratio</t>
  </si>
  <si>
    <t>Selection:</t>
  </si>
  <si>
    <t>Latest 3 years average for variable general expense ratio due to the increase over the last 3 years.</t>
  </si>
  <si>
    <t>Select 12% for commission and premium tax expense ratio, as there has been a change to these ratios.</t>
  </si>
  <si>
    <t>years</t>
  </si>
  <si>
    <t>Fixed General Expense</t>
  </si>
  <si>
    <t>Fixed General Expense Per Exposure</t>
  </si>
  <si>
    <t>Trending Period</t>
  </si>
  <si>
    <t>Fixed Expense Trend Factor</t>
  </si>
  <si>
    <t>Trended Fixed Expenses</t>
  </si>
  <si>
    <t>Therefore, need to trend from the average written date in each calendar year to the average written date in the future rating period.</t>
  </si>
  <si>
    <t>Average written date in calendar year 2023:</t>
  </si>
  <si>
    <t>Average written date in future rating period:</t>
  </si>
  <si>
    <t>Trend period for 2023:</t>
  </si>
  <si>
    <t>Justification: Select the latest 3 years average due to the increase over the last 3 years.</t>
  </si>
  <si>
    <t>Fixed expenses are incurred at the time each policy is written.</t>
  </si>
  <si>
    <t>One reason for using more data points is to account for the greater uncertainty inherent in the projection of ultimate claims for long-tail coverages, particularly for the most recent years in the experience period.</t>
  </si>
  <si>
    <t>Due to potential changes in coverage as well as in the economic, regulatory, and legal environments over time.</t>
  </si>
  <si>
    <t>- Balance the need for stability with the need for responsiveness to the most recent experience.</t>
  </si>
  <si>
    <t>- Assign greater weight to the most recent experience for short-tail lines of business.</t>
  </si>
  <si>
    <t>- Have a sufficient number of data points in the experience period to determine a pattern for the annual change.</t>
  </si>
  <si>
    <t>- Consider both long-term and short-term trend indications for long-tail lines of business.</t>
  </si>
  <si>
    <t xml:space="preserve">- Consider the effect of changes in coverage, economic, regulatory and legal environments over time. </t>
  </si>
  <si>
    <t>- The experience of the most recent data points may be too immature for long-tail lines of business.</t>
  </si>
  <si>
    <t>- Consider excluding outliers.</t>
  </si>
  <si>
    <t># months trending period:</t>
  </si>
  <si>
    <t>12-month policies (given)</t>
  </si>
  <si>
    <t>6-month policies</t>
  </si>
  <si>
    <t>Weighted average # months:</t>
  </si>
  <si>
    <t>exponent:</t>
  </si>
  <si>
    <t xml:space="preserve"> (3 months earlier than 12 month policies)</t>
  </si>
  <si>
    <t>Pure premium trend factor:</t>
  </si>
  <si>
    <t>ULAE is not assigned to specific claims, therefore, no accident year can be assigned.</t>
  </si>
  <si>
    <t xml:space="preserve">ULAE are not simply associated with the payment of claims, but other activity as well. </t>
  </si>
  <si>
    <t xml:space="preserve">Ratio-based methods do not recognize that the amount of ULAE does not depend solely on the magnitude of the total claims in the portfolio.  </t>
  </si>
  <si>
    <t>ULAE from ratio-based methods will fluctuate in response to changes in the estimates of unpaid claims.</t>
  </si>
  <si>
    <t>Ratio</t>
  </si>
  <si>
    <t>Expense</t>
  </si>
  <si>
    <t>Unpaid</t>
  </si>
  <si>
    <t>Multiplier</t>
  </si>
  <si>
    <t xml:space="preserve">Case Reserves </t>
  </si>
  <si>
    <t>Paid-to-Paid</t>
  </si>
  <si>
    <t>Paid ULAE</t>
  </si>
  <si>
    <t>Projected Open Counts</t>
  </si>
  <si>
    <t>Avg ULAE Per Wtd Count</t>
  </si>
  <si>
    <t>Weights:</t>
  </si>
  <si>
    <t>Selected Average ULAE per Weighted Count:</t>
  </si>
  <si>
    <t>Trending Period in Years</t>
  </si>
  <si>
    <t>Trended Avg ULAE</t>
  </si>
  <si>
    <t>Estimated Unpaid ULAE</t>
  </si>
  <si>
    <t>Weighted Total</t>
  </si>
  <si>
    <t>Prospective Trend Factor</t>
  </si>
  <si>
    <t xml:space="preserve"> - Medical malpractice</t>
  </si>
  <si>
    <t>Any of the following are acceptable:</t>
  </si>
  <si>
    <t xml:space="preserve"> - Errors &amp; Omissions</t>
  </si>
  <si>
    <t xml:space="preserve"> - Any type of bodily injury liability only coverage</t>
  </si>
  <si>
    <t xml:space="preserve"> - Workers compensation</t>
  </si>
  <si>
    <t>Incremental Paid Claims</t>
  </si>
  <si>
    <t>Adjustment Factors for Tort Reform</t>
  </si>
  <si>
    <t>Adjusted Incremental Paid Claims</t>
  </si>
  <si>
    <t>Adjusted Cumulative Paid Claims</t>
  </si>
  <si>
    <t>Projected Frequency</t>
  </si>
  <si>
    <t>Projected Counts</t>
  </si>
  <si>
    <t>Projected Severity</t>
  </si>
  <si>
    <t>12-24</t>
  </si>
  <si>
    <t>24-36</t>
  </si>
  <si>
    <t>36-48</t>
  </si>
  <si>
    <t>48-60</t>
  </si>
  <si>
    <t>60-72</t>
  </si>
  <si>
    <t>72-84</t>
  </si>
  <si>
    <t>Age-to-age:</t>
  </si>
  <si>
    <t>Age-to-ult:</t>
  </si>
  <si>
    <t>CY2024 paid claims:</t>
  </si>
  <si>
    <t>CY2025 paid claims:</t>
  </si>
  <si>
    <t>Rate Change History</t>
  </si>
  <si>
    <t>Effective Date</t>
  </si>
  <si>
    <t>Rate</t>
  </si>
  <si>
    <t>Rate Level</t>
  </si>
  <si>
    <t>Percent Premium Earned in Each CY at Rate Level</t>
  </si>
  <si>
    <t>of Rate Change</t>
  </si>
  <si>
    <t>Change %</t>
  </si>
  <si>
    <t>Index</t>
  </si>
  <si>
    <t>Prior to Mar 1/22</t>
  </si>
  <si>
    <t>Average Rate Level in each CY:</t>
  </si>
  <si>
    <t>On-Level Factors:</t>
  </si>
  <si>
    <t>1.05×1.07</t>
  </si>
  <si>
    <t>Effective date or new rates:</t>
  </si>
  <si>
    <t>Trending Period in Months</t>
  </si>
  <si>
    <t>Trend Factor</t>
  </si>
  <si>
    <t>Trend from average written date in experience period to average written date in future rating period.</t>
  </si>
  <si>
    <t>for 2022: all policies written between Mar 1, 2022 &amp; Dec 31, 2022 contribute toward 2022 EP</t>
  </si>
  <si>
    <t>for 2023: all policies written between Mar 1, 2022 &amp; Dec 31, 2023 contribute toward 2023 EP</t>
  </si>
  <si>
    <t>Average Written Date in Experience Period</t>
  </si>
  <si>
    <t>Average Written Date Rating Period</t>
  </si>
  <si>
    <t>Reported Claims, Adjusted for Large Claim</t>
  </si>
  <si>
    <t>Reported Claims Age-to-Age factors</t>
  </si>
  <si>
    <t>Reported Claims Excluding Large Claim</t>
  </si>
  <si>
    <t>Age-to-Ultimate Development Factors</t>
  </si>
  <si>
    <t xml:space="preserve">Selected </t>
  </si>
  <si>
    <t>Vol. Wtd. Avg.</t>
  </si>
  <si>
    <t>Simple All Years Avg.</t>
  </si>
  <si>
    <t>Ultimate Claims Excluding Large Claim</t>
  </si>
  <si>
    <t>Ultimate Claims Including Large Claim</t>
  </si>
  <si>
    <t>The method seems appropriate after adjusting for large loss because development factors are relatively stable.</t>
  </si>
  <si>
    <t>Claim Ratio</t>
  </si>
  <si>
    <t>BF Method Ultimate Claims</t>
  </si>
  <si>
    <t>% Claims Unreported</t>
  </si>
  <si>
    <t>On-level Factors</t>
  </si>
  <si>
    <t>Claim Trend Factors</t>
  </si>
  <si>
    <t>Adjusted Claims</t>
  </si>
  <si>
    <t>Expected Claims</t>
  </si>
  <si>
    <t>Expected Unreported Claims</t>
  </si>
  <si>
    <t>Adjusted expected claim ratio:</t>
  </si>
  <si>
    <t>Expected % Claims Reported</t>
  </si>
  <si>
    <t>Reported CDF</t>
  </si>
  <si>
    <t>Expected % Unreported</t>
  </si>
  <si>
    <t>On-Level Earned Premiums</t>
  </si>
  <si>
    <t>Used Up On-Level Earned Premiums</t>
  </si>
  <si>
    <t>Any of the following is acceptable:</t>
  </si>
  <si>
    <t xml:space="preserve"> - Method is appropriate but usually used for longer-tailed lines</t>
  </si>
  <si>
    <t xml:space="preserve"> - Method is appropriate because it explicitly adjusts for trend</t>
  </si>
  <si>
    <t xml:space="preserve"> - Method is better than BF because expected claim ratio is experience-based</t>
  </si>
  <si>
    <t xml:space="preserve"> - Method is appropriate for newer lines of business (immature experience periods)</t>
  </si>
  <si>
    <t>Average rate level in each CY:</t>
  </si>
  <si>
    <t>On-level factors:</t>
  </si>
  <si>
    <t>Year (AY)</t>
  </si>
  <si>
    <t>Age-to-ult. (CDF)</t>
  </si>
  <si>
    <t>60-ultimate</t>
  </si>
  <si>
    <t>BF method may not be appropriate as management is uncertain that expected claim ratio from industry data is representative of this book of business.</t>
  </si>
  <si>
    <t>Alternatively, the BF method correctly reflects large claim.</t>
  </si>
  <si>
    <t>Accident Year (AY)</t>
  </si>
  <si>
    <t>Frequency</t>
  </si>
  <si>
    <t>Change from Court Ruling</t>
  </si>
  <si>
    <t>Court Ruling Adjusted Frequency</t>
  </si>
  <si>
    <t>Annual Trend</t>
  </si>
  <si>
    <t>All years average</t>
  </si>
  <si>
    <t>Average excluding 2023</t>
  </si>
  <si>
    <t>Recommended Trend</t>
  </si>
  <si>
    <t>Severity</t>
  </si>
  <si>
    <t>Frequency Trend @0.5%</t>
  </si>
  <si>
    <t>Severity Trend @4.0%</t>
  </si>
  <si>
    <t>Trended Frequency</t>
  </si>
  <si>
    <t>Trended Severity</t>
  </si>
  <si>
    <t>The proportion closed counts is equal to the ratio of the counts closed at each maturity age to the counts remaining as of the prior maturity age.</t>
  </si>
  <si>
    <t>All years average:</t>
  </si>
  <si>
    <t>Instead of using development triangles with cumulative data, the closure method relies on triangles of incremental counts and claims.</t>
  </si>
  <si>
    <t>The disposal ratio is the percent closed of ultimate counts.</t>
  </si>
  <si>
    <t>Average excluding 2023 (per the model):</t>
  </si>
  <si>
    <t>The proportion is the percent of counts closed of the remaining open counts.</t>
  </si>
  <si>
    <t>Commentary on Question:</t>
  </si>
  <si>
    <t>This question is about assigning the credibility and not about what is considered for the complement of credibility.</t>
  </si>
  <si>
    <t>It is necessary to start with incremental paid claims, as the reform affects claims paid after a certain date and not the cumulative of all claims paid to that date.</t>
  </si>
  <si>
    <t>Age-to-ultimate factors are calculated by dividing the given ultimate claims by cumulative paid claims to date (i.e., the latest diagonal).</t>
  </si>
  <si>
    <t>The claim ratio to use is the given expected claim ratio based on industry data of 65% for all accident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</si>
</sst>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0.000"/>
    <numFmt numFmtId="165" formatCode="0.0%"/>
    <numFmt numFmtId="166" formatCode="mmmm\ d\,\ yyyy"/>
    <numFmt numFmtId="167" formatCode="#,##0.000"/>
    <numFmt numFmtId="168" formatCode="d\-mmm\-yyyy"/>
    <numFmt numFmtId="169" formatCode="#;\(#\);\-"/>
    <numFmt numFmtId="170" formatCode="0.00000"/>
    <numFmt numFmtId="171" formatCode="mmm\.\ d\,\ yyyy"/>
    <numFmt numFmtId="172" formatCode="0.0000000"/>
    <numFmt numFmtId="173" formatCode="_(* #,##0_);_(* \(#,##0\);_(* &quot;-&quot;??_);_(@_)"/>
    <numFmt numFmtId="174" formatCode="#,##0;\-#,##0;\-"/>
    <numFmt numFmtId="175" formatCode="#;\-#;\-"/>
    <numFmt numFmtId="176" formatCode="#,##0.0000;\-#,##0.0000;\-"/>
    <numFmt numFmtId="177" formatCode="0.00%;\-;\-"/>
    <numFmt numFmtId="178" formatCode="0.0000"/>
    <numFmt numFmtId="179" formatCode="#,##0.000_);\(#,##0.000\)"/>
    <numFmt numFmtId="180" formatCode="#,##0.0000_);\(#,##0.0000\)"/>
    <numFmt numFmtId="181" formatCode="#,##0.0000"/>
    <numFmt numFmtId="182" formatCode="#,##0.00000"/>
  </numFmts>
  <fonts count="21" x14ac:knownFonts="1">
    <font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b/>
      <sz val="14"/>
      <color rgb="FF002060"/>
      <name val="Times New Roman"/>
      <family val="1"/>
    </font>
    <font>
      <i/>
      <sz val="12"/>
      <color rgb="FF002060"/>
      <name val="Times New Roman"/>
      <family val="1"/>
    </font>
    <font>
      <sz val="12"/>
      <name val="Times New Roman"/>
      <family val="1"/>
    </font>
    <font>
      <b/>
      <i/>
      <sz val="12"/>
      <color rgb="FF002060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Symbol"/>
      <family val="1"/>
      <charset val="2"/>
    </font>
    <font>
      <sz val="7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2"/>
      <color rgb="FF002060"/>
      <name val="Courier New"/>
      <family val="3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Aptos Narrow"/>
      <family val="2"/>
    </font>
    <font>
      <sz val="12"/>
      <color rgb="FF00B050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Aptos Narrow"/>
      <family val="2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quotePrefix="1" applyFont="1" applyFill="1" applyAlignment="1">
      <alignment vertical="center"/>
    </xf>
    <xf numFmtId="0" fontId="5" fillId="0" borderId="0" xfId="0" applyFont="1"/>
    <xf numFmtId="0" fontId="1" fillId="0" borderId="0" xfId="0" applyFont="1"/>
    <xf numFmtId="0" fontId="1" fillId="2" borderId="0" xfId="0" applyFont="1" applyFill="1"/>
    <xf numFmtId="0" fontId="1" fillId="3" borderId="0" xfId="0" quotePrefix="1" applyFont="1" applyFill="1"/>
    <xf numFmtId="0" fontId="6" fillId="3" borderId="0" xfId="0" applyFont="1" applyFill="1"/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9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wrapText="1"/>
    </xf>
    <xf numFmtId="164" fontId="1" fillId="2" borderId="9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9" fontId="1" fillId="2" borderId="9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9" fontId="1" fillId="2" borderId="9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quotePrefix="1" applyFont="1" applyFill="1"/>
    <xf numFmtId="10" fontId="1" fillId="2" borderId="9" xfId="0" applyNumberFormat="1" applyFont="1" applyFill="1" applyBorder="1" applyAlignment="1">
      <alignment horizontal="center"/>
    </xf>
    <xf numFmtId="0" fontId="10" fillId="2" borderId="0" xfId="0" applyFont="1" applyFill="1"/>
    <xf numFmtId="0" fontId="1" fillId="2" borderId="0" xfId="0" applyFont="1" applyFill="1" applyAlignment="1">
      <alignment horizontal="center"/>
    </xf>
    <xf numFmtId="166" fontId="1" fillId="2" borderId="9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/>
    </xf>
    <xf numFmtId="165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7" fillId="2" borderId="1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1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9" fontId="1" fillId="3" borderId="9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wrapText="1"/>
    </xf>
    <xf numFmtId="165" fontId="1" fillId="3" borderId="9" xfId="0" applyNumberFormat="1" applyFont="1" applyFill="1" applyBorder="1" applyAlignment="1">
      <alignment horizontal="center"/>
    </xf>
    <xf numFmtId="9" fontId="1" fillId="3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8" fillId="2" borderId="0" xfId="0" applyFont="1" applyFill="1" applyAlignment="1">
      <alignment horizontal="left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167" fontId="1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7" xfId="1" applyNumberFormat="1" applyFont="1" applyFill="1" applyBorder="1" applyAlignment="1">
      <alignment horizontal="center"/>
    </xf>
    <xf numFmtId="0" fontId="2" fillId="0" borderId="0" xfId="0" quotePrefix="1" applyFont="1"/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2" fillId="0" borderId="4" xfId="0" applyFont="1" applyBorder="1"/>
    <xf numFmtId="3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center"/>
    </xf>
    <xf numFmtId="37" fontId="2" fillId="0" borderId="0" xfId="2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37" fontId="5" fillId="0" borderId="0" xfId="2" applyNumberFormat="1" applyFont="1" applyFill="1" applyAlignment="1">
      <alignment horizontal="center"/>
    </xf>
    <xf numFmtId="37" fontId="5" fillId="0" borderId="7" xfId="2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7" fontId="5" fillId="0" borderId="0" xfId="2" applyNumberFormat="1" applyFont="1" applyFill="1" applyBorder="1" applyAlignment="1">
      <alignment horizont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center"/>
    </xf>
    <xf numFmtId="4" fontId="5" fillId="0" borderId="7" xfId="0" applyNumberFormat="1" applyFont="1" applyBorder="1"/>
    <xf numFmtId="10" fontId="5" fillId="0" borderId="0" xfId="1" applyNumberFormat="1" applyFont="1" applyFill="1" applyAlignment="1">
      <alignment horizontal="center"/>
    </xf>
    <xf numFmtId="10" fontId="5" fillId="0" borderId="7" xfId="0" applyNumberFormat="1" applyFont="1" applyBorder="1"/>
    <xf numFmtId="10" fontId="5" fillId="0" borderId="0" xfId="0" applyNumberFormat="1" applyFont="1" applyAlignment="1">
      <alignment horizontal="center"/>
    </xf>
    <xf numFmtId="0" fontId="5" fillId="0" borderId="0" xfId="0" quotePrefix="1" applyFont="1"/>
    <xf numFmtId="0" fontId="5" fillId="0" borderId="0" xfId="0" quotePrefix="1" applyFont="1" applyAlignment="1">
      <alignment horizontal="center"/>
    </xf>
    <xf numFmtId="165" fontId="2" fillId="0" borderId="0" xfId="0" applyNumberFormat="1" applyFont="1"/>
    <xf numFmtId="10" fontId="2" fillId="0" borderId="0" xfId="0" applyNumberFormat="1" applyFont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Continuous"/>
    </xf>
    <xf numFmtId="0" fontId="5" fillId="0" borderId="11" xfId="0" applyFont="1" applyBorder="1" applyAlignment="1">
      <alignment horizontal="center" wrapText="1"/>
    </xf>
    <xf numFmtId="165" fontId="2" fillId="0" borderId="9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15" fontId="2" fillId="0" borderId="4" xfId="0" applyNumberFormat="1" applyFont="1" applyBorder="1" applyAlignment="1">
      <alignment horizontal="center"/>
    </xf>
    <xf numFmtId="15" fontId="2" fillId="0" borderId="0" xfId="0" applyNumberFormat="1" applyFont="1" applyAlignment="1">
      <alignment horizontal="center"/>
    </xf>
    <xf numFmtId="15" fontId="2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3" fontId="5" fillId="0" borderId="0" xfId="0" applyNumberFormat="1" applyFont="1"/>
    <xf numFmtId="3" fontId="5" fillId="0" borderId="7" xfId="0" applyNumberFormat="1" applyFont="1" applyBorder="1" applyAlignment="1">
      <alignment horizont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168" fontId="5" fillId="0" borderId="7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15" fillId="0" borderId="0" xfId="0" applyFont="1"/>
    <xf numFmtId="0" fontId="2" fillId="0" borderId="7" xfId="0" applyFont="1" applyBorder="1" applyAlignment="1">
      <alignment horizontal="centerContinuous"/>
    </xf>
    <xf numFmtId="10" fontId="2" fillId="0" borderId="0" xfId="1" applyNumberFormat="1" applyFont="1" applyFill="1" applyAlignment="1">
      <alignment horizontal="center"/>
    </xf>
    <xf numFmtId="10" fontId="2" fillId="0" borderId="7" xfId="1" applyNumberFormat="1" applyFont="1" applyFill="1" applyBorder="1" applyAlignment="1">
      <alignment horizontal="center"/>
    </xf>
    <xf numFmtId="15" fontId="16" fillId="0" borderId="0" xfId="0" applyNumberFormat="1" applyFont="1"/>
    <xf numFmtId="170" fontId="2" fillId="0" borderId="0" xfId="0" applyNumberFormat="1" applyFont="1" applyAlignment="1">
      <alignment horizontal="center"/>
    </xf>
    <xf numFmtId="171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9" fontId="2" fillId="0" borderId="0" xfId="0" applyNumberFormat="1" applyFont="1" applyAlignment="1">
      <alignment horizontal="center"/>
    </xf>
    <xf numFmtId="172" fontId="2" fillId="0" borderId="0" xfId="0" applyNumberFormat="1" applyFont="1"/>
    <xf numFmtId="170" fontId="2" fillId="0" borderId="0" xfId="0" applyNumberFormat="1" applyFo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6" fillId="0" borderId="0" xfId="0" applyFont="1"/>
    <xf numFmtId="173" fontId="5" fillId="0" borderId="2" xfId="0" applyNumberFormat="1" applyFont="1" applyBorder="1"/>
    <xf numFmtId="173" fontId="5" fillId="0" borderId="0" xfId="2" applyNumberFormat="1" applyFont="1" applyFill="1"/>
    <xf numFmtId="0" fontId="17" fillId="0" borderId="0" xfId="0" applyFont="1" applyAlignment="1">
      <alignment horizontal="right"/>
    </xf>
    <xf numFmtId="0" fontId="5" fillId="0" borderId="6" xfId="0" applyFont="1" applyBorder="1"/>
    <xf numFmtId="3" fontId="5" fillId="0" borderId="0" xfId="0" applyNumberFormat="1" applyFont="1" applyAlignment="1">
      <alignment horizontal="center" vertical="center"/>
    </xf>
    <xf numFmtId="165" fontId="5" fillId="0" borderId="0" xfId="1" applyNumberFormat="1" applyFont="1" applyFill="1" applyAlignment="1">
      <alignment horizontal="center"/>
    </xf>
    <xf numFmtId="165" fontId="5" fillId="0" borderId="2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right"/>
    </xf>
    <xf numFmtId="9" fontId="5" fillId="0" borderId="0" xfId="1" applyFont="1" applyFill="1" applyBorder="1" applyAlignment="1">
      <alignment horizontal="center"/>
    </xf>
    <xf numFmtId="9" fontId="5" fillId="0" borderId="0" xfId="1" applyFont="1" applyFill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3" fontId="5" fillId="0" borderId="0" xfId="2" applyNumberFormat="1" applyFont="1" applyFill="1" applyAlignment="1">
      <alignment horizontal="center"/>
    </xf>
    <xf numFmtId="3" fontId="5" fillId="0" borderId="7" xfId="2" applyNumberFormat="1" applyFont="1" applyFill="1" applyBorder="1" applyAlignment="1">
      <alignment horizontal="center"/>
    </xf>
    <xf numFmtId="174" fontId="16" fillId="0" borderId="0" xfId="0" applyNumberFormat="1" applyFont="1"/>
    <xf numFmtId="174" fontId="5" fillId="0" borderId="0" xfId="0" applyNumberFormat="1" applyFont="1" applyAlignment="1">
      <alignment horizontal="center"/>
    </xf>
    <xf numFmtId="175" fontId="1" fillId="2" borderId="9" xfId="0" applyNumberFormat="1" applyFont="1" applyFill="1" applyBorder="1" applyAlignment="1">
      <alignment horizontal="center" vertical="center"/>
    </xf>
    <xf numFmtId="37" fontId="5" fillId="0" borderId="0" xfId="0" quotePrefix="1" applyNumberFormat="1" applyFont="1" applyAlignment="1">
      <alignment horizontal="center" vertical="top" wrapText="1"/>
    </xf>
    <xf numFmtId="9" fontId="5" fillId="0" borderId="0" xfId="1" quotePrefix="1" applyFont="1" applyFill="1" applyAlignment="1">
      <alignment horizontal="center" vertical="top" wrapText="1"/>
    </xf>
    <xf numFmtId="173" fontId="5" fillId="0" borderId="0" xfId="2" applyNumberFormat="1" applyFont="1" applyFill="1" applyBorder="1"/>
    <xf numFmtId="43" fontId="5" fillId="0" borderId="0" xfId="2" applyFont="1" applyFill="1" applyBorder="1"/>
    <xf numFmtId="173" fontId="14" fillId="0" borderId="0" xfId="2" applyNumberFormat="1" applyFont="1" applyFill="1" applyAlignment="1">
      <alignment horizontal="right"/>
    </xf>
    <xf numFmtId="173" fontId="14" fillId="0" borderId="0" xfId="2" applyNumberFormat="1" applyFont="1" applyFill="1" applyAlignment="1">
      <alignment horizontal="center"/>
    </xf>
    <xf numFmtId="173" fontId="5" fillId="0" borderId="0" xfId="2" applyNumberFormat="1" applyFont="1" applyFill="1" applyAlignment="1">
      <alignment horizontal="right"/>
    </xf>
    <xf numFmtId="176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174" fontId="5" fillId="0" borderId="7" xfId="0" applyNumberFormat="1" applyFont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3" fontId="2" fillId="4" borderId="0" xfId="0" applyNumberFormat="1" applyFont="1" applyFill="1"/>
    <xf numFmtId="3" fontId="5" fillId="5" borderId="9" xfId="0" applyNumberFormat="1" applyFont="1" applyFill="1" applyBorder="1" applyAlignment="1">
      <alignment horizontal="center"/>
    </xf>
    <xf numFmtId="3" fontId="2" fillId="5" borderId="0" xfId="0" applyNumberFormat="1" applyFont="1" applyFill="1"/>
    <xf numFmtId="0" fontId="2" fillId="0" borderId="9" xfId="0" applyFont="1" applyBorder="1" applyAlignment="1">
      <alignment horizontal="center" wrapText="1"/>
    </xf>
    <xf numFmtId="3" fontId="14" fillId="0" borderId="9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9" fontId="1" fillId="0" borderId="0" xfId="0" applyNumberFormat="1" applyFont="1"/>
    <xf numFmtId="0" fontId="1" fillId="0" borderId="0" xfId="0" quotePrefix="1" applyFont="1"/>
    <xf numFmtId="0" fontId="19" fillId="0" borderId="0" xfId="0" applyFont="1"/>
    <xf numFmtId="170" fontId="2" fillId="0" borderId="7" xfId="0" applyNumberFormat="1" applyFont="1" applyBorder="1" applyAlignment="1">
      <alignment horizontal="center"/>
    </xf>
    <xf numFmtId="171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9" fontId="16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left"/>
    </xf>
    <xf numFmtId="178" fontId="2" fillId="0" borderId="0" xfId="0" applyNumberFormat="1" applyFont="1" applyAlignment="1">
      <alignment horizontal="center"/>
    </xf>
    <xf numFmtId="177" fontId="2" fillId="0" borderId="7" xfId="1" applyNumberFormat="1" applyFont="1" applyFill="1" applyBorder="1" applyAlignment="1">
      <alignment horizontal="center"/>
    </xf>
    <xf numFmtId="177" fontId="2" fillId="0" borderId="0" xfId="1" applyNumberFormat="1" applyFont="1" applyFill="1" applyAlignment="1">
      <alignment horizontal="center"/>
    </xf>
    <xf numFmtId="15" fontId="5" fillId="0" borderId="0" xfId="0" applyNumberFormat="1" applyFont="1" applyAlignment="1">
      <alignment horizontal="center" vertical="center" wrapText="1"/>
    </xf>
    <xf numFmtId="15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 vertical="center" wrapText="1"/>
    </xf>
    <xf numFmtId="15" fontId="5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5" fillId="0" borderId="0" xfId="1" applyNumberFormat="1" applyFont="1" applyFill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7" xfId="1" applyNumberFormat="1" applyFont="1" applyFill="1" applyBorder="1" applyAlignment="1">
      <alignment horizontal="center"/>
    </xf>
    <xf numFmtId="3" fontId="2" fillId="0" borderId="0" xfId="0" applyNumberFormat="1" applyFont="1"/>
    <xf numFmtId="167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79" fontId="2" fillId="0" borderId="0" xfId="2" applyNumberFormat="1" applyFont="1" applyFill="1" applyAlignment="1">
      <alignment horizontal="center" vertical="center"/>
    </xf>
    <xf numFmtId="9" fontId="2" fillId="0" borderId="0" xfId="1" applyFont="1" applyFill="1" applyAlignment="1">
      <alignment horizontal="center"/>
    </xf>
    <xf numFmtId="0" fontId="2" fillId="0" borderId="7" xfId="0" applyFont="1" applyBorder="1" applyAlignment="1">
      <alignment horizontal="center" vertical="center"/>
    </xf>
    <xf numFmtId="179" fontId="2" fillId="0" borderId="7" xfId="2" applyNumberFormat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/>
    </xf>
    <xf numFmtId="165" fontId="2" fillId="0" borderId="0" xfId="1" applyNumberFormat="1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180" fontId="2" fillId="0" borderId="0" xfId="2" applyNumberFormat="1" applyFont="1" applyFill="1" applyAlignment="1">
      <alignment horizontal="center" vertical="center"/>
    </xf>
    <xf numFmtId="181" fontId="2" fillId="0" borderId="0" xfId="0" applyNumberFormat="1" applyFont="1" applyAlignment="1">
      <alignment horizontal="center"/>
    </xf>
    <xf numFmtId="3" fontId="2" fillId="0" borderId="0" xfId="2" applyNumberFormat="1" applyFont="1" applyFill="1" applyAlignment="1">
      <alignment horizontal="center"/>
    </xf>
    <xf numFmtId="165" fontId="2" fillId="0" borderId="7" xfId="1" applyNumberFormat="1" applyFont="1" applyFill="1" applyBorder="1" applyAlignment="1">
      <alignment horizontal="center" vertical="center"/>
    </xf>
    <xf numFmtId="3" fontId="2" fillId="0" borderId="7" xfId="2" applyNumberFormat="1" applyFont="1" applyFill="1" applyBorder="1" applyAlignment="1">
      <alignment horizontal="center" vertical="center"/>
    </xf>
    <xf numFmtId="180" fontId="2" fillId="0" borderId="7" xfId="2" applyNumberFormat="1" applyFont="1" applyFill="1" applyBorder="1" applyAlignment="1">
      <alignment horizontal="center" vertical="center"/>
    </xf>
    <xf numFmtId="181" fontId="2" fillId="0" borderId="7" xfId="0" applyNumberFormat="1" applyFont="1" applyBorder="1" applyAlignment="1">
      <alignment horizontal="center"/>
    </xf>
    <xf numFmtId="3" fontId="2" fillId="0" borderId="7" xfId="2" applyNumberFormat="1" applyFont="1" applyFill="1" applyBorder="1" applyAlignment="1">
      <alignment horizontal="center"/>
    </xf>
    <xf numFmtId="3" fontId="1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182" fontId="2" fillId="0" borderId="0" xfId="2" applyNumberFormat="1" applyFont="1" applyFill="1" applyAlignment="1">
      <alignment horizontal="center"/>
    </xf>
    <xf numFmtId="4" fontId="2" fillId="0" borderId="0" xfId="2" applyNumberFormat="1" applyFont="1" applyFill="1" applyAlignment="1">
      <alignment horizontal="center"/>
    </xf>
    <xf numFmtId="181" fontId="2" fillId="0" borderId="0" xfId="2" applyNumberFormat="1" applyFont="1" applyFill="1" applyAlignment="1">
      <alignment horizontal="center"/>
    </xf>
    <xf numFmtId="182" fontId="2" fillId="0" borderId="7" xfId="2" applyNumberFormat="1" applyFont="1" applyFill="1" applyBorder="1" applyAlignment="1">
      <alignment horizontal="center"/>
    </xf>
    <xf numFmtId="4" fontId="2" fillId="0" borderId="7" xfId="2" applyNumberFormat="1" applyFont="1" applyFill="1" applyBorder="1" applyAlignment="1">
      <alignment horizontal="center"/>
    </xf>
    <xf numFmtId="181" fontId="2" fillId="0" borderId="7" xfId="2" applyNumberFormat="1" applyFont="1" applyFill="1" applyBorder="1" applyAlignment="1">
      <alignment horizontal="center"/>
    </xf>
    <xf numFmtId="37" fontId="2" fillId="0" borderId="7" xfId="2" applyNumberFormat="1" applyFont="1" applyFill="1" applyBorder="1" applyAlignment="1">
      <alignment horizontal="center"/>
    </xf>
    <xf numFmtId="39" fontId="2" fillId="0" borderId="0" xfId="2" applyNumberFormat="1" applyFont="1" applyFill="1" applyAlignment="1">
      <alignment horizontal="center"/>
    </xf>
    <xf numFmtId="39" fontId="2" fillId="0" borderId="7" xfId="2" applyNumberFormat="1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1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2" borderId="9" xfId="0" applyFont="1" applyFill="1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666750</xdr:colOff>
          <xdr:row>36</xdr:row>
          <xdr:rowOff>171450</xdr:rowOff>
        </xdr:from>
        <xdr:to>
          <xdr:col>5</xdr:col>
          <xdr:colOff>381000</xdr:colOff>
          <xdr:row>38</xdr:row>
          <xdr:rowOff>47625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628650</xdr:colOff>
          <xdr:row>38</xdr:row>
          <xdr:rowOff>171450</xdr:rowOff>
        </xdr:from>
        <xdr:to>
          <xdr:col>5</xdr:col>
          <xdr:colOff>342900</xdr:colOff>
          <xdr:row>40</xdr:row>
          <xdr:rowOff>47625</xdr:rowOff>
        </xdr:to>
        <xdr:sp macro="" textlink="">
          <xdr:nvSpPr>
            <xdr:cNvPr id="12292" name="Object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7938</xdr:colOff>
      <xdr:row>25</xdr:row>
      <xdr:rowOff>0</xdr:rowOff>
    </xdr:from>
    <xdr:to>
      <xdr:col>17</xdr:col>
      <xdr:colOff>0</xdr:colOff>
      <xdr:row>28</xdr:row>
      <xdr:rowOff>238125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3F7437F-E59E-6279-421B-31DA1E743940}"/>
            </a:ext>
          </a:extLst>
        </xdr:cNvPr>
        <xdr:cNvCxnSpPr/>
      </xdr:nvCxnSpPr>
      <xdr:spPr>
        <a:xfrm flipV="1">
          <a:off x="8516938" y="5000625"/>
          <a:ext cx="1071562" cy="976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25</xdr:row>
      <xdr:rowOff>0</xdr:rowOff>
    </xdr:from>
    <xdr:to>
      <xdr:col>18</xdr:col>
      <xdr:colOff>261937</xdr:colOff>
      <xdr:row>28</xdr:row>
      <xdr:rowOff>238125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7E6E9DE-912B-49B1-AEF4-A6CD71ED963B}"/>
            </a:ext>
          </a:extLst>
        </xdr:cNvPr>
        <xdr:cNvCxnSpPr/>
      </xdr:nvCxnSpPr>
      <xdr:spPr>
        <a:xfrm flipV="1">
          <a:off x="9048750" y="5000625"/>
          <a:ext cx="1071562" cy="976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25</xdr:row>
      <xdr:rowOff>0</xdr:rowOff>
    </xdr:from>
    <xdr:to>
      <xdr:col>23</xdr:col>
      <xdr:colOff>261937</xdr:colOff>
      <xdr:row>28</xdr:row>
      <xdr:rowOff>238125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FE300B9D-059D-4586-9A1E-A12D6A5CA96B}"/>
            </a:ext>
          </a:extLst>
        </xdr:cNvPr>
        <xdr:cNvCxnSpPr/>
      </xdr:nvCxnSpPr>
      <xdr:spPr>
        <a:xfrm flipV="1">
          <a:off x="10398125" y="5000625"/>
          <a:ext cx="1071562" cy="976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49</xdr:row>
      <xdr:rowOff>0</xdr:rowOff>
    </xdr:from>
    <xdr:to>
      <xdr:col>17</xdr:col>
      <xdr:colOff>0</xdr:colOff>
      <xdr:row>52</xdr:row>
      <xdr:rowOff>238125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EAC194A-A5A1-4A36-BEFC-B67A3BF20237}"/>
            </a:ext>
          </a:extLst>
        </xdr:cNvPr>
        <xdr:cNvCxnSpPr/>
      </xdr:nvCxnSpPr>
      <xdr:spPr>
        <a:xfrm flipV="1">
          <a:off x="9906001" y="5000625"/>
          <a:ext cx="1071562" cy="976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49</xdr:row>
      <xdr:rowOff>0</xdr:rowOff>
    </xdr:from>
    <xdr:to>
      <xdr:col>18</xdr:col>
      <xdr:colOff>261937</xdr:colOff>
      <xdr:row>52</xdr:row>
      <xdr:rowOff>238125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245C9E08-2E66-4B4C-8F6C-EBB4E1A3CA17}"/>
            </a:ext>
          </a:extLst>
        </xdr:cNvPr>
        <xdr:cNvCxnSpPr/>
      </xdr:nvCxnSpPr>
      <xdr:spPr>
        <a:xfrm flipV="1">
          <a:off x="10437813" y="5000625"/>
          <a:ext cx="1071562" cy="976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49</xdr:row>
      <xdr:rowOff>0</xdr:rowOff>
    </xdr:from>
    <xdr:to>
      <xdr:col>23</xdr:col>
      <xdr:colOff>261937</xdr:colOff>
      <xdr:row>52</xdr:row>
      <xdr:rowOff>238125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514F2F7-C5BF-4800-95CC-F438291C05A6}"/>
            </a:ext>
          </a:extLst>
        </xdr:cNvPr>
        <xdr:cNvCxnSpPr/>
      </xdr:nvCxnSpPr>
      <xdr:spPr>
        <a:xfrm flipV="1">
          <a:off x="11787188" y="5000625"/>
          <a:ext cx="1071562" cy="976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7938</xdr:colOff>
      <xdr:row>53</xdr:row>
      <xdr:rowOff>95248</xdr:rowOff>
    </xdr:from>
    <xdr:to>
      <xdr:col>15</xdr:col>
      <xdr:colOff>254001</xdr:colOff>
      <xdr:row>53</xdr:row>
      <xdr:rowOff>253999</xdr:rowOff>
    </xdr:to>
    <xdr:sp macro="" textlink="">
      <xdr:nvSpPr>
        <xdr:cNvPr id="10" name="Left Brace 9">
          <a:extLst>
            <a:ext uri="{FF2B5EF4-FFF2-40B4-BE49-F238E27FC236}">
              <a16:creationId xmlns:a16="http://schemas.microsoft.com/office/drawing/2014/main" id="{848EF0DB-4210-4BEB-BCA1-29CE80DE4DB3}"/>
            </a:ext>
          </a:extLst>
        </xdr:cNvPr>
        <xdr:cNvSpPr/>
      </xdr:nvSpPr>
      <xdr:spPr>
        <a:xfrm rot="16200000">
          <a:off x="10219532" y="12307092"/>
          <a:ext cx="158751" cy="78581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265748</xdr:colOff>
      <xdr:row>55</xdr:row>
      <xdr:rowOff>171449</xdr:rowOff>
    </xdr:from>
    <xdr:to>
      <xdr:col>20</xdr:col>
      <xdr:colOff>15878</xdr:colOff>
      <xdr:row>56</xdr:row>
      <xdr:rowOff>119062</xdr:rowOff>
    </xdr:to>
    <xdr:sp macro="" textlink="">
      <xdr:nvSpPr>
        <xdr:cNvPr id="11" name="Left Brace 10">
          <a:extLst>
            <a:ext uri="{FF2B5EF4-FFF2-40B4-BE49-F238E27FC236}">
              <a16:creationId xmlns:a16="http://schemas.microsoft.com/office/drawing/2014/main" id="{0D0BBC28-E6B3-410C-AEDC-3E278E9A85EB}"/>
            </a:ext>
          </a:extLst>
        </xdr:cNvPr>
        <xdr:cNvSpPr/>
      </xdr:nvSpPr>
      <xdr:spPr>
        <a:xfrm rot="16200000">
          <a:off x="10775476" y="12616972"/>
          <a:ext cx="146050" cy="190913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9A9F-9F81-4C3E-9EE7-7DCEE063407C}">
  <dimension ref="A1:R126"/>
  <sheetViews>
    <sheetView tabSelected="1" zoomScale="120" zoomScaleNormal="120" workbookViewId="0"/>
  </sheetViews>
  <sheetFormatPr defaultColWidth="8.85546875" defaultRowHeight="15.75" x14ac:dyDescent="0.25"/>
  <cols>
    <col min="1" max="1" width="17.42578125" style="1" customWidth="1"/>
    <col min="2" max="6" width="12.71093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8</v>
      </c>
      <c r="B1" s="4"/>
      <c r="C1" s="8" t="s">
        <v>12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9"/>
      <c r="B4" s="25" t="s">
        <v>13</v>
      </c>
      <c r="C4" s="259" t="s">
        <v>15</v>
      </c>
      <c r="D4" s="260"/>
      <c r="E4" s="260"/>
      <c r="F4" s="260"/>
      <c r="G4" s="4"/>
      <c r="H4" s="8"/>
      <c r="I4" s="8"/>
      <c r="J4" s="8"/>
      <c r="K4" s="8"/>
      <c r="L4" s="8"/>
    </row>
    <row r="5" spans="1:12" x14ac:dyDescent="0.25">
      <c r="A5" s="9"/>
      <c r="B5" s="26" t="s">
        <v>14</v>
      </c>
      <c r="C5" s="23">
        <v>12</v>
      </c>
      <c r="D5" s="20">
        <v>24</v>
      </c>
      <c r="E5" s="20">
        <v>36</v>
      </c>
      <c r="F5" s="20">
        <v>48</v>
      </c>
      <c r="G5" s="4"/>
      <c r="H5" s="8"/>
      <c r="I5" s="8"/>
      <c r="J5" s="8"/>
      <c r="K5" s="8"/>
      <c r="L5" s="8"/>
    </row>
    <row r="6" spans="1:12" x14ac:dyDescent="0.25">
      <c r="A6" s="9"/>
      <c r="B6" s="24">
        <v>2020</v>
      </c>
      <c r="C6" s="22">
        <v>10000000</v>
      </c>
      <c r="D6" s="22">
        <v>15000000</v>
      </c>
      <c r="E6" s="22">
        <v>16500000</v>
      </c>
      <c r="F6" s="22">
        <v>17236120</v>
      </c>
      <c r="G6" s="4"/>
      <c r="H6" s="8"/>
      <c r="I6" s="8"/>
      <c r="J6" s="8"/>
      <c r="K6" s="8"/>
      <c r="L6" s="8"/>
    </row>
    <row r="7" spans="1:12" x14ac:dyDescent="0.25">
      <c r="A7" s="9"/>
      <c r="B7" s="21">
        <v>2021</v>
      </c>
      <c r="C7" s="22">
        <v>11280000</v>
      </c>
      <c r="D7" s="22">
        <v>17482000</v>
      </c>
      <c r="E7" s="22">
        <v>19204718</v>
      </c>
      <c r="F7" s="21"/>
      <c r="G7" s="4"/>
      <c r="H7" s="8"/>
      <c r="I7" s="8"/>
      <c r="J7" s="8"/>
      <c r="K7" s="8"/>
      <c r="L7" s="8"/>
    </row>
    <row r="8" spans="1:12" x14ac:dyDescent="0.25">
      <c r="A8" s="4"/>
      <c r="B8" s="21">
        <v>2022</v>
      </c>
      <c r="C8" s="22">
        <v>13500000</v>
      </c>
      <c r="D8" s="22">
        <v>20808951</v>
      </c>
      <c r="E8" s="21"/>
      <c r="F8" s="21"/>
      <c r="G8" s="4"/>
      <c r="H8" s="8"/>
      <c r="I8" s="8"/>
      <c r="J8" s="8"/>
      <c r="K8" s="8"/>
      <c r="L8" s="8"/>
    </row>
    <row r="9" spans="1:12" x14ac:dyDescent="0.25">
      <c r="A9" s="4"/>
      <c r="B9" s="21">
        <v>2023</v>
      </c>
      <c r="C9" s="22">
        <v>16723013</v>
      </c>
      <c r="D9" s="21"/>
      <c r="E9" s="21"/>
      <c r="F9" s="21"/>
      <c r="G9" s="4"/>
      <c r="H9" s="8"/>
      <c r="I9" s="8"/>
      <c r="J9" s="8"/>
      <c r="K9" s="8"/>
      <c r="L9" s="8"/>
    </row>
    <row r="10" spans="1:12" x14ac:dyDescent="0.25">
      <c r="A10" s="9"/>
      <c r="B10" s="8"/>
      <c r="C10" s="8"/>
      <c r="D10" s="8"/>
      <c r="E10" s="8"/>
      <c r="F10" s="8"/>
      <c r="G10" s="4"/>
      <c r="H10" s="8"/>
      <c r="I10" s="8"/>
      <c r="J10" s="8"/>
      <c r="K10" s="8"/>
      <c r="L10" s="8"/>
    </row>
    <row r="11" spans="1:12" ht="16.149999999999999" customHeight="1" x14ac:dyDescent="0.25">
      <c r="A11" s="4"/>
      <c r="B11" s="25" t="s">
        <v>13</v>
      </c>
      <c r="C11" s="259" t="s">
        <v>16</v>
      </c>
      <c r="D11" s="260"/>
      <c r="E11" s="260"/>
      <c r="F11" s="260"/>
      <c r="G11" s="4"/>
      <c r="H11" s="8"/>
      <c r="I11" s="8"/>
      <c r="J11" s="8"/>
      <c r="K11" s="8"/>
      <c r="L11" s="8"/>
    </row>
    <row r="12" spans="1:12" x14ac:dyDescent="0.25">
      <c r="A12" s="4"/>
      <c r="B12" s="26" t="s">
        <v>14</v>
      </c>
      <c r="C12" s="23">
        <v>12</v>
      </c>
      <c r="D12" s="20">
        <v>24</v>
      </c>
      <c r="E12" s="20">
        <v>36</v>
      </c>
      <c r="F12" s="20">
        <v>48</v>
      </c>
      <c r="G12" s="4"/>
      <c r="H12" s="8"/>
      <c r="I12" s="8"/>
      <c r="J12" s="8"/>
      <c r="K12" s="8"/>
      <c r="L12" s="8"/>
    </row>
    <row r="13" spans="1:12" x14ac:dyDescent="0.25">
      <c r="A13" s="4"/>
      <c r="B13" s="24">
        <v>2020</v>
      </c>
      <c r="C13" s="22">
        <v>5000000</v>
      </c>
      <c r="D13" s="22">
        <v>12000000</v>
      </c>
      <c r="E13" s="22">
        <v>15600000</v>
      </c>
      <c r="F13" s="22">
        <v>16991500</v>
      </c>
      <c r="G13" s="4"/>
      <c r="H13" s="8"/>
      <c r="I13" s="8"/>
      <c r="J13" s="8"/>
      <c r="K13" s="8"/>
      <c r="L13" s="8"/>
    </row>
    <row r="14" spans="1:12" x14ac:dyDescent="0.25">
      <c r="A14" s="4"/>
      <c r="B14" s="21">
        <v>2021</v>
      </c>
      <c r="C14" s="22">
        <v>5775000</v>
      </c>
      <c r="D14" s="22">
        <v>13860000</v>
      </c>
      <c r="E14" s="22">
        <v>18023071</v>
      </c>
      <c r="F14" s="21"/>
      <c r="G14" s="4"/>
      <c r="H14" s="8"/>
      <c r="I14" s="8"/>
      <c r="J14" s="8"/>
      <c r="K14" s="8"/>
      <c r="L14" s="8"/>
    </row>
    <row r="15" spans="1:12" x14ac:dyDescent="0.25">
      <c r="A15" s="4"/>
      <c r="B15" s="21">
        <v>2022</v>
      </c>
      <c r="C15" s="22">
        <v>6680000</v>
      </c>
      <c r="D15" s="22">
        <v>16008300</v>
      </c>
      <c r="E15" s="21"/>
      <c r="F15" s="21"/>
      <c r="G15" s="4"/>
      <c r="H15" s="8"/>
      <c r="I15" s="8"/>
      <c r="J15" s="8"/>
      <c r="K15" s="8"/>
      <c r="L15" s="8"/>
    </row>
    <row r="16" spans="1:12" x14ac:dyDescent="0.25">
      <c r="A16" s="4"/>
      <c r="B16" s="21">
        <v>2023</v>
      </c>
      <c r="C16" s="22">
        <v>7715400</v>
      </c>
      <c r="D16" s="21"/>
      <c r="E16" s="21"/>
      <c r="F16" s="21"/>
      <c r="G16" s="4"/>
      <c r="H16" s="8"/>
      <c r="I16" s="8"/>
      <c r="J16" s="8"/>
      <c r="K16" s="8"/>
      <c r="L16" s="8"/>
    </row>
    <row r="17" spans="1:12" x14ac:dyDescent="0.25">
      <c r="A17" s="4"/>
      <c r="B17" s="8"/>
      <c r="C17" s="8"/>
      <c r="D17" s="8"/>
      <c r="E17" s="8"/>
      <c r="F17" s="8"/>
      <c r="G17" s="4"/>
      <c r="H17" s="8"/>
      <c r="I17" s="8"/>
      <c r="J17" s="8"/>
      <c r="K17" s="8"/>
      <c r="L17" s="8"/>
    </row>
    <row r="18" spans="1:12" ht="16.149999999999999" customHeight="1" x14ac:dyDescent="0.25">
      <c r="A18" s="4"/>
      <c r="B18" s="25" t="s">
        <v>13</v>
      </c>
      <c r="C18" s="259" t="s">
        <v>17</v>
      </c>
      <c r="D18" s="260"/>
      <c r="E18" s="260"/>
      <c r="F18" s="260"/>
      <c r="G18" s="4"/>
      <c r="H18" s="8"/>
      <c r="I18" s="8"/>
      <c r="J18" s="8"/>
      <c r="K18" s="8"/>
      <c r="L18" s="8"/>
    </row>
    <row r="19" spans="1:12" x14ac:dyDescent="0.25">
      <c r="A19" s="4"/>
      <c r="B19" s="26" t="s">
        <v>14</v>
      </c>
      <c r="C19" s="23">
        <v>12</v>
      </c>
      <c r="D19" s="20">
        <v>24</v>
      </c>
      <c r="E19" s="20">
        <v>36</v>
      </c>
      <c r="F19" s="20">
        <v>48</v>
      </c>
      <c r="G19" s="4"/>
      <c r="H19" s="8"/>
      <c r="I19" s="8"/>
      <c r="J19" s="8"/>
      <c r="K19" s="8"/>
      <c r="L19" s="8"/>
    </row>
    <row r="20" spans="1:12" x14ac:dyDescent="0.25">
      <c r="A20" s="4"/>
      <c r="B20" s="24">
        <v>2020</v>
      </c>
      <c r="C20" s="22">
        <v>1500</v>
      </c>
      <c r="D20" s="22">
        <v>1650</v>
      </c>
      <c r="E20" s="22">
        <v>1700</v>
      </c>
      <c r="F20" s="22">
        <v>1720</v>
      </c>
      <c r="G20" s="4"/>
      <c r="H20" s="8"/>
      <c r="I20" s="8"/>
      <c r="J20" s="8"/>
      <c r="K20" s="8"/>
      <c r="L20" s="8"/>
    </row>
    <row r="21" spans="1:12" x14ac:dyDescent="0.25">
      <c r="A21" s="4"/>
      <c r="B21" s="21">
        <v>2021</v>
      </c>
      <c r="C21" s="22">
        <v>1650</v>
      </c>
      <c r="D21" s="22">
        <v>1815</v>
      </c>
      <c r="E21" s="22">
        <v>1870</v>
      </c>
      <c r="F21" s="21"/>
      <c r="G21" s="4"/>
      <c r="H21" s="8"/>
      <c r="I21" s="8"/>
      <c r="J21" s="8"/>
      <c r="K21" s="8"/>
      <c r="L21" s="8"/>
    </row>
    <row r="22" spans="1:12" x14ac:dyDescent="0.25">
      <c r="A22" s="4"/>
      <c r="B22" s="21">
        <v>2022</v>
      </c>
      <c r="C22" s="22">
        <v>1815</v>
      </c>
      <c r="D22" s="22">
        <v>1997</v>
      </c>
      <c r="E22" s="21"/>
      <c r="F22" s="21"/>
      <c r="G22" s="4"/>
      <c r="H22" s="8"/>
      <c r="I22" s="8"/>
      <c r="J22" s="8"/>
      <c r="K22" s="8"/>
      <c r="L22" s="8"/>
    </row>
    <row r="23" spans="1:12" x14ac:dyDescent="0.25">
      <c r="A23" s="4"/>
      <c r="B23" s="21">
        <v>2023</v>
      </c>
      <c r="C23" s="22">
        <v>1997</v>
      </c>
      <c r="D23" s="21"/>
      <c r="E23" s="21"/>
      <c r="F23" s="21"/>
      <c r="G23" s="4"/>
      <c r="H23" s="8"/>
      <c r="I23" s="8"/>
      <c r="J23" s="8"/>
      <c r="K23" s="8"/>
      <c r="L23" s="8"/>
    </row>
    <row r="24" spans="1:12" x14ac:dyDescent="0.25">
      <c r="A24" s="4"/>
      <c r="B24" s="8"/>
      <c r="C24" s="8"/>
      <c r="D24" s="8"/>
      <c r="E24" s="8"/>
      <c r="F24" s="8"/>
      <c r="G24" s="4"/>
      <c r="H24" s="8"/>
      <c r="I24" s="8"/>
      <c r="J24" s="8"/>
      <c r="K24" s="8"/>
      <c r="L24" s="8"/>
    </row>
    <row r="25" spans="1:12" ht="16.149999999999999" customHeight="1" x14ac:dyDescent="0.25">
      <c r="A25" s="4"/>
      <c r="B25" s="25" t="s">
        <v>13</v>
      </c>
      <c r="C25" s="259" t="s">
        <v>18</v>
      </c>
      <c r="D25" s="260"/>
      <c r="E25" s="260"/>
      <c r="F25" s="260"/>
      <c r="G25" s="4"/>
      <c r="H25" s="8"/>
      <c r="I25" s="8"/>
      <c r="J25" s="8"/>
      <c r="K25" s="8"/>
      <c r="L25" s="8"/>
    </row>
    <row r="26" spans="1:12" x14ac:dyDescent="0.25">
      <c r="A26" s="8"/>
      <c r="B26" s="26" t="s">
        <v>14</v>
      </c>
      <c r="C26" s="23">
        <v>12</v>
      </c>
      <c r="D26" s="20">
        <v>24</v>
      </c>
      <c r="E26" s="20">
        <v>36</v>
      </c>
      <c r="F26" s="20">
        <v>48</v>
      </c>
      <c r="G26" s="8"/>
      <c r="H26" s="8"/>
      <c r="I26" s="8"/>
      <c r="J26" s="8"/>
      <c r="K26" s="8"/>
      <c r="L26" s="8"/>
    </row>
    <row r="27" spans="1:12" x14ac:dyDescent="0.25">
      <c r="A27" s="8"/>
      <c r="B27" s="24">
        <v>2020</v>
      </c>
      <c r="C27" s="22">
        <v>850</v>
      </c>
      <c r="D27" s="22">
        <v>1445</v>
      </c>
      <c r="E27" s="22">
        <v>1615</v>
      </c>
      <c r="F27" s="22">
        <v>1700</v>
      </c>
      <c r="G27" s="8"/>
      <c r="H27" s="8"/>
      <c r="I27" s="8"/>
      <c r="J27" s="8"/>
      <c r="K27" s="8"/>
      <c r="L27" s="8"/>
    </row>
    <row r="28" spans="1:12" x14ac:dyDescent="0.25">
      <c r="A28" s="8"/>
      <c r="B28" s="21">
        <v>2021</v>
      </c>
      <c r="C28" s="22">
        <v>935</v>
      </c>
      <c r="D28" s="22">
        <v>1590</v>
      </c>
      <c r="E28" s="22">
        <v>1777</v>
      </c>
      <c r="F28" s="21"/>
      <c r="G28" s="8"/>
      <c r="H28" s="8"/>
      <c r="I28" s="8"/>
      <c r="J28" s="8"/>
      <c r="K28" s="8"/>
      <c r="L28" s="8"/>
    </row>
    <row r="29" spans="1:12" x14ac:dyDescent="0.25">
      <c r="A29" s="8"/>
      <c r="B29" s="21">
        <v>2022</v>
      </c>
      <c r="C29" s="22">
        <v>1030</v>
      </c>
      <c r="D29" s="22">
        <v>1749</v>
      </c>
      <c r="E29" s="21"/>
      <c r="F29" s="21"/>
      <c r="G29" s="8"/>
      <c r="H29" s="8"/>
      <c r="I29" s="8"/>
      <c r="J29" s="8"/>
      <c r="K29" s="8"/>
      <c r="L29" s="8"/>
    </row>
    <row r="30" spans="1:12" x14ac:dyDescent="0.25">
      <c r="A30" s="8"/>
      <c r="B30" s="21">
        <v>2023</v>
      </c>
      <c r="C30" s="22">
        <v>1133</v>
      </c>
      <c r="D30" s="21"/>
      <c r="E30" s="21"/>
      <c r="F30" s="21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35" t="s">
        <v>33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8" x14ac:dyDescent="0.25">
      <c r="A33" s="8"/>
      <c r="B33" s="35" t="s">
        <v>34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8" x14ac:dyDescent="0.25">
      <c r="A34" s="8"/>
      <c r="B34" s="35" t="s">
        <v>35</v>
      </c>
      <c r="C34" s="8"/>
      <c r="D34" s="8"/>
      <c r="E34" s="36">
        <v>0.05</v>
      </c>
      <c r="F34" s="8"/>
      <c r="G34" s="8"/>
      <c r="H34" s="8"/>
      <c r="I34" s="8"/>
      <c r="J34" s="8"/>
      <c r="K34" s="8"/>
      <c r="L34" s="8"/>
    </row>
    <row r="35" spans="1:18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8" x14ac:dyDescent="0.25">
      <c r="A37" s="5" t="s">
        <v>4</v>
      </c>
      <c r="B37" s="4" t="s">
        <v>19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7"/>
      <c r="N37" s="7"/>
      <c r="O37" s="7"/>
      <c r="P37" s="7"/>
      <c r="Q37" s="7"/>
      <c r="R37" s="7"/>
    </row>
    <row r="38" spans="1: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8" x14ac:dyDescent="0.25">
      <c r="A39" s="6" t="s">
        <v>1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</row>
    <row r="41" spans="1:18" x14ac:dyDescent="0.25">
      <c r="A41" s="1" t="s">
        <v>235</v>
      </c>
      <c r="H41" s="6"/>
      <c r="I41" s="6"/>
      <c r="J41" s="6"/>
      <c r="K41" s="6"/>
      <c r="L41" s="6"/>
      <c r="M41" s="6"/>
      <c r="N41" s="7"/>
    </row>
    <row r="42" spans="1:18" x14ac:dyDescent="0.25">
      <c r="H42" s="6"/>
      <c r="I42" s="6"/>
      <c r="J42" s="6"/>
      <c r="K42" s="6"/>
      <c r="L42" s="6"/>
      <c r="M42" s="6"/>
      <c r="N42" s="7"/>
    </row>
    <row r="43" spans="1:18" x14ac:dyDescent="0.25">
      <c r="A43" s="256" t="s">
        <v>25</v>
      </c>
      <c r="B43" s="258" t="s">
        <v>236</v>
      </c>
      <c r="C43" s="258"/>
      <c r="D43" s="258"/>
      <c r="E43" s="258"/>
      <c r="F43" s="79"/>
      <c r="G43" s="79"/>
      <c r="H43" s="6"/>
      <c r="I43" s="6"/>
      <c r="J43" s="6"/>
      <c r="K43" s="6"/>
      <c r="L43" s="6"/>
      <c r="M43" s="6"/>
      <c r="N43" s="7"/>
    </row>
    <row r="44" spans="1:18" x14ac:dyDescent="0.25">
      <c r="A44" s="257"/>
      <c r="B44" s="80">
        <v>12</v>
      </c>
      <c r="C44" s="80">
        <f>B44+12</f>
        <v>24</v>
      </c>
      <c r="D44" s="80">
        <f t="shared" ref="D44:E44" si="0">C44+12</f>
        <v>36</v>
      </c>
      <c r="E44" s="80">
        <f t="shared" si="0"/>
        <v>48</v>
      </c>
      <c r="F44"/>
      <c r="G44"/>
      <c r="H44" s="6"/>
      <c r="I44" s="6"/>
      <c r="J44" s="6"/>
      <c r="K44" s="6"/>
      <c r="L44" s="6"/>
      <c r="M44" s="6"/>
      <c r="N44" s="7"/>
    </row>
    <row r="45" spans="1:18" x14ac:dyDescent="0.25">
      <c r="A45" s="79">
        <f>$B$6</f>
        <v>2020</v>
      </c>
      <c r="B45" s="81">
        <f>(C6-C13)/(C20-C27)</f>
        <v>7692.3076923076924</v>
      </c>
      <c r="C45" s="81">
        <f t="shared" ref="C45:E45" si="1">(D6-D13)/(D20-D27)</f>
        <v>14634.146341463415</v>
      </c>
      <c r="D45" s="81">
        <f t="shared" si="1"/>
        <v>10588.235294117647</v>
      </c>
      <c r="E45" s="81">
        <f t="shared" si="1"/>
        <v>12231</v>
      </c>
      <c r="F45"/>
      <c r="G45"/>
      <c r="H45" s="6"/>
      <c r="I45" s="6"/>
      <c r="J45" s="6"/>
      <c r="K45" s="6"/>
      <c r="L45" s="6"/>
      <c r="M45" s="6"/>
      <c r="N45" s="7"/>
    </row>
    <row r="46" spans="1:18" x14ac:dyDescent="0.25">
      <c r="A46" s="79">
        <f t="shared" ref="A46:A48" si="2">A45+1</f>
        <v>2021</v>
      </c>
      <c r="B46" s="81">
        <f t="shared" ref="B46:D46" si="3">(C7-C14)/(C21-C28)</f>
        <v>7699.3006993006993</v>
      </c>
      <c r="C46" s="81">
        <f t="shared" si="3"/>
        <v>16097.777777777777</v>
      </c>
      <c r="D46" s="81">
        <f t="shared" si="3"/>
        <v>12705.881720430107</v>
      </c>
      <c r="E46" s="81"/>
      <c r="F46"/>
      <c r="G46"/>
      <c r="H46" s="6"/>
      <c r="I46" s="6"/>
      <c r="J46" s="6"/>
      <c r="K46" s="6"/>
      <c r="L46" s="6"/>
      <c r="M46" s="6"/>
      <c r="N46" s="7"/>
    </row>
    <row r="47" spans="1:18" x14ac:dyDescent="0.25">
      <c r="A47" s="79">
        <f t="shared" si="2"/>
        <v>2022</v>
      </c>
      <c r="B47" s="81">
        <f t="shared" ref="B47:C47" si="4">(C8-C15)/(C22-C29)</f>
        <v>8687.8980891719748</v>
      </c>
      <c r="C47" s="81">
        <f t="shared" si="4"/>
        <v>19357.46370967742</v>
      </c>
      <c r="D47" s="81"/>
      <c r="E47" s="81"/>
      <c r="F47"/>
      <c r="G47"/>
      <c r="H47" s="6"/>
      <c r="I47" s="6"/>
      <c r="J47" s="6"/>
      <c r="K47" s="6"/>
      <c r="L47" s="6"/>
      <c r="M47" s="6"/>
      <c r="N47" s="7"/>
    </row>
    <row r="48" spans="1:18" x14ac:dyDescent="0.25">
      <c r="A48" s="79">
        <f t="shared" si="2"/>
        <v>2023</v>
      </c>
      <c r="B48" s="81">
        <f t="shared" ref="B48" si="5">(C9-C16)/(C23-C30)</f>
        <v>10425.478009259259</v>
      </c>
      <c r="C48" s="81"/>
      <c r="D48" s="81"/>
      <c r="E48" s="81"/>
      <c r="F48"/>
      <c r="G48"/>
      <c r="H48" s="6"/>
      <c r="I48" s="6"/>
      <c r="J48" s="6"/>
      <c r="K48" s="6"/>
      <c r="L48" s="6"/>
      <c r="M48" s="6"/>
      <c r="N48" s="7"/>
    </row>
    <row r="49" spans="1:14" x14ac:dyDescent="0.25">
      <c r="F49"/>
      <c r="G49"/>
      <c r="H49" s="6"/>
      <c r="I49" s="6"/>
      <c r="J49" s="6"/>
      <c r="K49" s="6"/>
      <c r="L49" s="6"/>
      <c r="M49" s="6"/>
      <c r="N49" s="7"/>
    </row>
    <row r="50" spans="1:14" x14ac:dyDescent="0.25">
      <c r="A50" s="256" t="s">
        <v>25</v>
      </c>
      <c r="B50" s="258" t="s">
        <v>237</v>
      </c>
      <c r="C50" s="258"/>
      <c r="D50" s="258"/>
      <c r="E50" s="258"/>
      <c r="F50"/>
      <c r="G50"/>
      <c r="H50" s="6"/>
      <c r="I50" s="6"/>
      <c r="J50" s="6"/>
      <c r="K50" s="6"/>
      <c r="L50" s="6"/>
      <c r="M50" s="6"/>
      <c r="N50" s="7"/>
    </row>
    <row r="51" spans="1:14" x14ac:dyDescent="0.25">
      <c r="A51" s="257"/>
      <c r="B51" s="80">
        <v>12</v>
      </c>
      <c r="C51" s="80">
        <f>B51+12</f>
        <v>24</v>
      </c>
      <c r="D51" s="80">
        <f t="shared" ref="D51:E51" si="6">C51+12</f>
        <v>36</v>
      </c>
      <c r="E51" s="80">
        <f t="shared" si="6"/>
        <v>48</v>
      </c>
      <c r="F51"/>
      <c r="G51"/>
      <c r="H51" s="6"/>
      <c r="I51" s="6"/>
      <c r="J51" s="6"/>
      <c r="K51" s="6"/>
      <c r="L51" s="6"/>
      <c r="M51" s="6"/>
      <c r="N51" s="7"/>
    </row>
    <row r="52" spans="1:14" x14ac:dyDescent="0.25">
      <c r="A52" s="79" t="str">
        <f>A45&amp;"-"&amp;A46</f>
        <v>2020-2021</v>
      </c>
      <c r="B52" s="82">
        <f>B46/B45-1</f>
        <v>9.0909090909097046E-4</v>
      </c>
      <c r="C52" s="82">
        <f>C46/C45-1</f>
        <v>0.10001481481481478</v>
      </c>
      <c r="D52" s="82">
        <f>D46/D45-1</f>
        <v>0.1999999402628434</v>
      </c>
      <c r="E52" s="82"/>
      <c r="F52"/>
      <c r="G52"/>
      <c r="H52" s="6"/>
      <c r="I52" s="6"/>
      <c r="J52" s="6"/>
      <c r="K52" s="6"/>
      <c r="L52" s="6"/>
      <c r="M52" s="6"/>
      <c r="N52" s="7"/>
    </row>
    <row r="53" spans="1:14" x14ac:dyDescent="0.25">
      <c r="A53" s="79" t="str">
        <f>A46&amp;"-"&amp;A47</f>
        <v>2021-2022</v>
      </c>
      <c r="B53" s="82">
        <f>B47/B46-1</f>
        <v>0.1284009325627542</v>
      </c>
      <c r="C53" s="82">
        <f>C47/C46-1</f>
        <v>0.20249291404677527</v>
      </c>
      <c r="D53" s="82"/>
      <c r="E53" s="82"/>
      <c r="F53"/>
      <c r="G53"/>
      <c r="H53" s="6"/>
      <c r="I53" s="6"/>
      <c r="J53" s="6"/>
      <c r="K53" s="6"/>
      <c r="L53" s="6"/>
      <c r="M53" s="6"/>
      <c r="N53" s="7"/>
    </row>
    <row r="54" spans="1:14" x14ac:dyDescent="0.25">
      <c r="A54" s="80" t="str">
        <f>A47&amp;"-"&amp;A48</f>
        <v>2022-2023</v>
      </c>
      <c r="B54" s="83">
        <f>B48/B47-1</f>
        <v>0.2000000347901052</v>
      </c>
      <c r="C54" s="83"/>
      <c r="D54" s="83"/>
      <c r="E54" s="83"/>
      <c r="F54"/>
      <c r="G54"/>
      <c r="H54" s="6"/>
      <c r="I54" s="6"/>
      <c r="J54" s="6"/>
      <c r="K54" s="6"/>
      <c r="L54" s="6"/>
      <c r="M54" s="6"/>
      <c r="N54" s="7"/>
    </row>
    <row r="55" spans="1:14" x14ac:dyDescent="0.25">
      <c r="A55" s="79" t="s">
        <v>238</v>
      </c>
      <c r="B55" s="82">
        <f>AVERAGE(B52:B54)</f>
        <v>0.10977001942065012</v>
      </c>
      <c r="C55" s="82">
        <f t="shared" ref="C55:D55" si="7">AVERAGE(C52:C54)</f>
        <v>0.15125386443079503</v>
      </c>
      <c r="D55" s="82">
        <f t="shared" si="7"/>
        <v>0.1999999402628434</v>
      </c>
      <c r="E55" s="82"/>
      <c r="F55"/>
      <c r="G55"/>
      <c r="H55" s="6"/>
      <c r="I55" s="6"/>
      <c r="J55" s="6"/>
      <c r="K55" s="6"/>
      <c r="L55" s="6"/>
      <c r="M55" s="6"/>
      <c r="N55" s="7"/>
    </row>
    <row r="56" spans="1:14" x14ac:dyDescent="0.25">
      <c r="H56" s="6"/>
      <c r="I56" s="6"/>
      <c r="J56" s="6"/>
      <c r="K56" s="6"/>
      <c r="L56" s="6"/>
      <c r="M56" s="6"/>
      <c r="N56" s="7"/>
    </row>
    <row r="57" spans="1:14" x14ac:dyDescent="0.25">
      <c r="A57" s="84" t="s">
        <v>239</v>
      </c>
      <c r="H57" s="6"/>
      <c r="I57" s="6"/>
      <c r="J57" s="6"/>
      <c r="K57" s="6"/>
      <c r="L57" s="6"/>
      <c r="M57" s="6"/>
      <c r="N57" s="7"/>
    </row>
    <row r="58" spans="1:14" x14ac:dyDescent="0.25">
      <c r="A58" s="84"/>
      <c r="H58" s="6"/>
      <c r="I58" s="6"/>
      <c r="J58" s="6"/>
      <c r="K58" s="6"/>
      <c r="L58" s="6"/>
      <c r="M58" s="6"/>
      <c r="N58" s="7"/>
    </row>
    <row r="59" spans="1:14" x14ac:dyDescent="0.25">
      <c r="A59" s="1" t="s">
        <v>240</v>
      </c>
      <c r="F59" s="6"/>
      <c r="G59" s="6"/>
      <c r="H59" s="6"/>
      <c r="I59" s="6"/>
      <c r="J59" s="6"/>
      <c r="K59" s="6"/>
      <c r="L59" s="6"/>
      <c r="M59" s="6"/>
      <c r="N59" s="7"/>
    </row>
    <row r="60" spans="1:14" x14ac:dyDescent="0.25">
      <c r="F60" s="6"/>
      <c r="G60" s="6"/>
      <c r="H60" s="6"/>
      <c r="I60" s="6"/>
      <c r="J60" s="6"/>
      <c r="K60" s="6"/>
      <c r="L60" s="6"/>
      <c r="M60" s="6"/>
      <c r="N60" s="7"/>
    </row>
    <row r="61" spans="1:14" x14ac:dyDescent="0.25">
      <c r="A61" s="256" t="s">
        <v>25</v>
      </c>
      <c r="B61" s="258" t="s">
        <v>253</v>
      </c>
      <c r="C61" s="258"/>
      <c r="D61" s="258"/>
      <c r="E61" s="258"/>
      <c r="F61" s="6"/>
      <c r="G61" s="6"/>
      <c r="H61" s="6"/>
      <c r="I61" s="6"/>
      <c r="J61" s="6"/>
      <c r="K61" s="6"/>
      <c r="L61" s="6"/>
      <c r="M61" s="6"/>
      <c r="N61" s="7"/>
    </row>
    <row r="62" spans="1:14" x14ac:dyDescent="0.25">
      <c r="A62" s="257"/>
      <c r="B62" s="80">
        <v>12</v>
      </c>
      <c r="C62" s="80">
        <f>B62+12</f>
        <v>24</v>
      </c>
      <c r="D62" s="80">
        <f t="shared" ref="D62" si="8">C62+12</f>
        <v>36</v>
      </c>
      <c r="E62" s="80">
        <f t="shared" ref="E62" si="9">D62+12</f>
        <v>48</v>
      </c>
      <c r="F62" s="6"/>
      <c r="G62" s="6"/>
      <c r="H62" s="6"/>
      <c r="I62" s="6"/>
      <c r="J62" s="6"/>
      <c r="K62" s="6"/>
      <c r="L62" s="6"/>
      <c r="M62" s="6"/>
      <c r="N62" s="7"/>
    </row>
    <row r="63" spans="1:14" x14ac:dyDescent="0.25">
      <c r="A63" s="79">
        <f>$B$6</f>
        <v>2020</v>
      </c>
      <c r="B63" s="81">
        <f>C6/C20</f>
        <v>6666.666666666667</v>
      </c>
      <c r="C63" s="81">
        <f t="shared" ref="C63:D65" si="10">D6/D20</f>
        <v>9090.9090909090901</v>
      </c>
      <c r="D63" s="81">
        <f t="shared" si="10"/>
        <v>9705.8823529411766</v>
      </c>
      <c r="E63" s="81">
        <f>F6/F20</f>
        <v>10021</v>
      </c>
      <c r="F63" s="6"/>
      <c r="G63" s="6"/>
      <c r="H63" s="6"/>
      <c r="I63" s="6"/>
      <c r="J63" s="6"/>
      <c r="K63" s="6"/>
      <c r="L63" s="6"/>
      <c r="M63" s="6"/>
      <c r="N63" s="7"/>
    </row>
    <row r="64" spans="1:14" x14ac:dyDescent="0.25">
      <c r="A64" s="79">
        <f t="shared" ref="A64:A66" si="11">A63+1</f>
        <v>2021</v>
      </c>
      <c r="B64" s="81">
        <f t="shared" ref="B64:B65" si="12">C7/C21</f>
        <v>6836.363636363636</v>
      </c>
      <c r="C64" s="81">
        <f t="shared" si="10"/>
        <v>9631.9559228650141</v>
      </c>
      <c r="D64" s="81">
        <f t="shared" si="10"/>
        <v>10269.902673796791</v>
      </c>
      <c r="E64" s="81"/>
      <c r="F64" s="6"/>
      <c r="G64" s="6"/>
      <c r="H64" s="6"/>
      <c r="I64" s="6"/>
      <c r="J64" s="6"/>
      <c r="K64" s="6"/>
      <c r="L64" s="6"/>
      <c r="M64" s="6"/>
      <c r="N64" s="7"/>
    </row>
    <row r="65" spans="1:14" x14ac:dyDescent="0.25">
      <c r="A65" s="79">
        <f t="shared" si="11"/>
        <v>2022</v>
      </c>
      <c r="B65" s="81">
        <f t="shared" si="12"/>
        <v>7438.0165289256202</v>
      </c>
      <c r="C65" s="81">
        <f t="shared" si="10"/>
        <v>10420.105658487731</v>
      </c>
      <c r="D65" s="81"/>
      <c r="E65" s="81"/>
      <c r="F65" s="6"/>
      <c r="G65" s="6"/>
      <c r="H65" s="6"/>
      <c r="I65" s="6"/>
      <c r="J65" s="6"/>
      <c r="K65" s="6"/>
      <c r="L65" s="6"/>
      <c r="M65" s="6"/>
      <c r="N65" s="7"/>
    </row>
    <row r="66" spans="1:14" x14ac:dyDescent="0.25">
      <c r="A66" s="79">
        <f t="shared" si="11"/>
        <v>2023</v>
      </c>
      <c r="B66" s="81">
        <f>C9/C23</f>
        <v>8374.0676014021028</v>
      </c>
      <c r="C66" s="81"/>
      <c r="D66" s="81"/>
      <c r="E66" s="81"/>
      <c r="F66" s="6"/>
      <c r="G66" s="6"/>
      <c r="H66" s="6"/>
      <c r="I66" s="6"/>
      <c r="J66" s="6"/>
      <c r="K66" s="6"/>
      <c r="L66" s="6"/>
      <c r="M66" s="6"/>
      <c r="N66" s="7"/>
    </row>
    <row r="67" spans="1:14" x14ac:dyDescent="0.25">
      <c r="F67" s="6"/>
      <c r="G67" s="6"/>
      <c r="H67" s="6"/>
      <c r="I67" s="6"/>
      <c r="J67" s="6"/>
      <c r="K67" s="6"/>
      <c r="L67" s="6"/>
      <c r="M67" s="6"/>
      <c r="N67" s="7"/>
    </row>
    <row r="68" spans="1:14" x14ac:dyDescent="0.25">
      <c r="A68" s="256" t="s">
        <v>25</v>
      </c>
      <c r="B68" s="258" t="s">
        <v>254</v>
      </c>
      <c r="C68" s="258"/>
      <c r="D68" s="258"/>
      <c r="E68" s="258"/>
      <c r="F68" s="6"/>
      <c r="G68" s="6"/>
      <c r="H68" s="6"/>
      <c r="I68" s="6"/>
      <c r="J68" s="6"/>
      <c r="K68" s="6"/>
      <c r="L68" s="6"/>
      <c r="M68" s="6"/>
      <c r="N68" s="7"/>
    </row>
    <row r="69" spans="1:14" x14ac:dyDescent="0.25">
      <c r="A69" s="257"/>
      <c r="B69" s="80">
        <v>12</v>
      </c>
      <c r="C69" s="80">
        <f>B69+12</f>
        <v>24</v>
      </c>
      <c r="D69" s="80">
        <f t="shared" ref="D69" si="13">C69+12</f>
        <v>36</v>
      </c>
      <c r="E69" s="80">
        <f t="shared" ref="E69" si="14">D69+12</f>
        <v>48</v>
      </c>
      <c r="F69" s="6"/>
      <c r="G69" s="6"/>
      <c r="H69" s="6"/>
      <c r="I69" s="6"/>
      <c r="J69" s="6"/>
      <c r="K69" s="6"/>
      <c r="L69" s="6"/>
      <c r="M69" s="6"/>
      <c r="N69" s="7"/>
    </row>
    <row r="70" spans="1:14" x14ac:dyDescent="0.25">
      <c r="A70" s="79" t="str">
        <f>A63&amp;"-"&amp;A64</f>
        <v>2020-2021</v>
      </c>
      <c r="B70" s="82">
        <f>B64/B63-1</f>
        <v>2.5454545454545396E-2</v>
      </c>
      <c r="C70" s="82">
        <f>C64/C63-1</f>
        <v>5.9515151515151743E-2</v>
      </c>
      <c r="D70" s="82">
        <f>D64/D63-1</f>
        <v>5.8111184573002683E-2</v>
      </c>
      <c r="E70" s="82"/>
      <c r="F70" s="6"/>
      <c r="G70" s="6"/>
      <c r="H70" s="6"/>
      <c r="I70" s="6"/>
      <c r="J70" s="6"/>
      <c r="K70" s="6"/>
      <c r="L70" s="6"/>
      <c r="M70" s="6"/>
      <c r="N70" s="7"/>
    </row>
    <row r="71" spans="1:14" x14ac:dyDescent="0.25">
      <c r="A71" s="79" t="str">
        <f>A64&amp;"-"&amp;A65</f>
        <v>2021-2022</v>
      </c>
      <c r="B71" s="82">
        <f>B65/B64-1</f>
        <v>8.8007736943907178E-2</v>
      </c>
      <c r="C71" s="82">
        <f>C65/C64-1</f>
        <v>8.1826551318798346E-2</v>
      </c>
      <c r="D71" s="82"/>
      <c r="E71" s="82"/>
      <c r="F71" s="6"/>
      <c r="G71" s="6"/>
      <c r="H71" s="6"/>
      <c r="I71" s="6"/>
      <c r="J71" s="6"/>
      <c r="K71" s="6"/>
      <c r="L71" s="6"/>
      <c r="M71" s="6"/>
      <c r="N71" s="7"/>
    </row>
    <row r="72" spans="1:14" x14ac:dyDescent="0.25">
      <c r="A72" s="80" t="str">
        <f>A65&amp;"-"&amp;A66</f>
        <v>2022-2023</v>
      </c>
      <c r="B72" s="83">
        <f>B66/B65-1</f>
        <v>0.12584686641072707</v>
      </c>
      <c r="C72" s="83"/>
      <c r="D72" s="83"/>
      <c r="E72" s="83"/>
      <c r="F72" s="6"/>
      <c r="G72" s="6"/>
      <c r="H72" s="6"/>
      <c r="I72" s="6"/>
      <c r="J72" s="6"/>
      <c r="K72" s="6"/>
      <c r="L72" s="6"/>
      <c r="M72" s="6"/>
      <c r="N72" s="7"/>
    </row>
    <row r="73" spans="1:14" x14ac:dyDescent="0.25">
      <c r="A73" s="79" t="s">
        <v>238</v>
      </c>
      <c r="B73" s="82">
        <f>AVERAGE(B70:B72)</f>
        <v>7.9769716269726551E-2</v>
      </c>
      <c r="C73" s="82">
        <f t="shared" ref="C73" si="15">AVERAGE(C70:C72)</f>
        <v>7.0670851416975045E-2</v>
      </c>
      <c r="D73" s="82">
        <f t="shared" ref="D73" si="16">AVERAGE(D70:D72)</f>
        <v>5.8111184573002683E-2</v>
      </c>
      <c r="E73" s="82"/>
      <c r="F73" s="6"/>
      <c r="G73" s="6"/>
      <c r="H73" s="6"/>
      <c r="I73" s="6"/>
      <c r="J73" s="6"/>
      <c r="K73" s="6"/>
      <c r="L73" s="6"/>
      <c r="M73" s="6"/>
      <c r="N73" s="7"/>
    </row>
    <row r="74" spans="1:14" x14ac:dyDescent="0.25">
      <c r="F74" s="6"/>
      <c r="G74" s="6"/>
      <c r="H74" s="6"/>
      <c r="I74" s="6"/>
      <c r="J74" s="6"/>
      <c r="K74" s="6"/>
      <c r="L74" s="6"/>
      <c r="M74" s="6"/>
      <c r="N74" s="7"/>
    </row>
    <row r="75" spans="1:14" ht="15.75" customHeight="1" x14ac:dyDescent="0.25">
      <c r="A75" s="84" t="s">
        <v>241</v>
      </c>
      <c r="F75" s="6"/>
      <c r="G75" s="6"/>
      <c r="H75" s="6"/>
      <c r="I75" s="6"/>
      <c r="J75" s="6"/>
      <c r="K75" s="6"/>
      <c r="L75" s="6"/>
      <c r="M75" s="6"/>
      <c r="N75" s="7"/>
    </row>
    <row r="77" spans="1:14" x14ac:dyDescent="0.25">
      <c r="A77" s="5" t="s">
        <v>5</v>
      </c>
      <c r="B77" s="8" t="s">
        <v>20</v>
      </c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4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4" x14ac:dyDescent="0.25">
      <c r="A79" s="6" t="s">
        <v>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5">
      <c r="A81" s="1" t="s">
        <v>243</v>
      </c>
      <c r="F81"/>
      <c r="G81"/>
      <c r="H81"/>
    </row>
    <row r="82" spans="1:12" x14ac:dyDescent="0.25">
      <c r="A82" s="85" t="s">
        <v>242</v>
      </c>
      <c r="B82" s="86">
        <v>12</v>
      </c>
      <c r="C82" s="86">
        <f>B82+12</f>
        <v>24</v>
      </c>
      <c r="D82" s="86">
        <f t="shared" ref="D82" si="17">C82+12</f>
        <v>36</v>
      </c>
      <c r="E82" s="86">
        <f t="shared" ref="E82" si="18">D82+12</f>
        <v>48</v>
      </c>
      <c r="F82"/>
      <c r="G82"/>
      <c r="H82"/>
    </row>
    <row r="83" spans="1:12" x14ac:dyDescent="0.25">
      <c r="A83" s="79">
        <f>$B$6</f>
        <v>2020</v>
      </c>
      <c r="B83" s="87">
        <f>C27/C20</f>
        <v>0.56666666666666665</v>
      </c>
      <c r="C83" s="87">
        <f>D27/D20</f>
        <v>0.87575757575757573</v>
      </c>
      <c r="D83" s="87">
        <f>E27/E20</f>
        <v>0.95</v>
      </c>
      <c r="E83" s="88">
        <f>F27/F20</f>
        <v>0.98837209302325579</v>
      </c>
      <c r="F83"/>
      <c r="G83"/>
      <c r="H83"/>
    </row>
    <row r="84" spans="1:12" x14ac:dyDescent="0.25">
      <c r="A84" s="79">
        <f t="shared" ref="A84:A86" si="19">A83+1</f>
        <v>2021</v>
      </c>
      <c r="B84" s="87">
        <f>C28/C21</f>
        <v>0.56666666666666665</v>
      </c>
      <c r="C84" s="87">
        <f>D28/D21</f>
        <v>0.87603305785123964</v>
      </c>
      <c r="D84" s="88">
        <f>E28/E21</f>
        <v>0.95026737967914443</v>
      </c>
      <c r="F84"/>
      <c r="G84"/>
      <c r="H84"/>
    </row>
    <row r="85" spans="1:12" x14ac:dyDescent="0.25">
      <c r="A85" s="79">
        <f t="shared" si="19"/>
        <v>2022</v>
      </c>
      <c r="B85" s="87">
        <f>C29/C22</f>
        <v>0.56749311294765836</v>
      </c>
      <c r="C85" s="88">
        <f>D29/D22</f>
        <v>0.87581372058087126</v>
      </c>
    </row>
    <row r="86" spans="1:12" x14ac:dyDescent="0.25">
      <c r="A86" s="79">
        <f t="shared" si="19"/>
        <v>2023</v>
      </c>
      <c r="B86" s="88">
        <f>C30/C23</f>
        <v>0.56735102653980973</v>
      </c>
    </row>
    <row r="87" spans="1:12" x14ac:dyDescent="0.25">
      <c r="A87" s="1" t="s">
        <v>255</v>
      </c>
    </row>
    <row r="88" spans="1:12" x14ac:dyDescent="0.25">
      <c r="A88" s="1" t="s">
        <v>244</v>
      </c>
    </row>
    <row r="90" spans="1:12" x14ac:dyDescent="0.25">
      <c r="A90" s="5" t="s">
        <v>0</v>
      </c>
      <c r="B90" s="8" t="s">
        <v>21</v>
      </c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6" t="s">
        <v>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256" t="s">
        <v>25</v>
      </c>
      <c r="B94" s="258" t="s">
        <v>245</v>
      </c>
      <c r="C94" s="258"/>
      <c r="D94" s="258"/>
      <c r="E94" s="258"/>
      <c r="F94" s="6"/>
      <c r="G94" s="6"/>
      <c r="H94" s="6"/>
      <c r="I94" s="6"/>
      <c r="J94" s="6"/>
      <c r="K94" s="6"/>
      <c r="L94" s="6"/>
    </row>
    <row r="95" spans="1:12" x14ac:dyDescent="0.25">
      <c r="A95" s="257"/>
      <c r="B95" s="80">
        <v>12</v>
      </c>
      <c r="C95" s="80">
        <f>B95+12</f>
        <v>24</v>
      </c>
      <c r="D95" s="80">
        <f t="shared" ref="D95:E95" si="20">C95+12</f>
        <v>36</v>
      </c>
      <c r="E95" s="80">
        <f t="shared" si="20"/>
        <v>48</v>
      </c>
    </row>
    <row r="96" spans="1:12" x14ac:dyDescent="0.25">
      <c r="A96" s="79">
        <f>$B$6</f>
        <v>2020</v>
      </c>
      <c r="B96" s="81">
        <f t="shared" ref="B96:B97" si="21">B97/(1+$E$34)</f>
        <v>9005.9198870612308</v>
      </c>
      <c r="C96" s="81">
        <f t="shared" ref="C96:C97" si="22">C97/(1+$E$34)</f>
        <v>17557.790212859338</v>
      </c>
      <c r="D96" s="81">
        <f>D97/(1+$E$34)</f>
        <v>12100.839733742958</v>
      </c>
      <c r="E96" s="89">
        <f>E45</f>
        <v>12231</v>
      </c>
    </row>
    <row r="97" spans="1:5" x14ac:dyDescent="0.25">
      <c r="A97" s="79">
        <f t="shared" ref="A97:A99" si="23">A96+1</f>
        <v>2021</v>
      </c>
      <c r="B97" s="81">
        <f t="shared" si="21"/>
        <v>9456.2158814142931</v>
      </c>
      <c r="C97" s="81">
        <f t="shared" si="22"/>
        <v>18435.679723502304</v>
      </c>
      <c r="D97" s="89">
        <f>D46</f>
        <v>12705.881720430107</v>
      </c>
      <c r="E97" s="81"/>
    </row>
    <row r="98" spans="1:5" x14ac:dyDescent="0.25">
      <c r="A98" s="79">
        <f t="shared" si="23"/>
        <v>2022</v>
      </c>
      <c r="B98" s="81">
        <f>B99/(1+$E$34)</f>
        <v>9929.026675485009</v>
      </c>
      <c r="C98" s="89">
        <f>C47</f>
        <v>19357.46370967742</v>
      </c>
      <c r="D98" s="81"/>
      <c r="E98" s="81"/>
    </row>
    <row r="99" spans="1:5" x14ac:dyDescent="0.25">
      <c r="A99" s="79">
        <f t="shared" si="23"/>
        <v>2023</v>
      </c>
      <c r="B99" s="89">
        <f>B48</f>
        <v>10425.478009259259</v>
      </c>
      <c r="C99" s="81"/>
      <c r="D99" s="81"/>
      <c r="E99" s="81"/>
    </row>
    <row r="100" spans="1:5" x14ac:dyDescent="0.25">
      <c r="A100" s="90"/>
    </row>
    <row r="101" spans="1:5" x14ac:dyDescent="0.25">
      <c r="A101" s="256" t="s">
        <v>25</v>
      </c>
      <c r="B101" s="258" t="s">
        <v>246</v>
      </c>
      <c r="C101" s="258"/>
      <c r="D101" s="258"/>
      <c r="E101" s="258"/>
    </row>
    <row r="102" spans="1:5" x14ac:dyDescent="0.25">
      <c r="A102" s="257"/>
      <c r="B102" s="80">
        <v>12</v>
      </c>
      <c r="C102" s="80">
        <f>B102+12</f>
        <v>24</v>
      </c>
      <c r="D102" s="80">
        <f t="shared" ref="D102:E102" si="24">C102+12</f>
        <v>36</v>
      </c>
      <c r="E102" s="80">
        <f t="shared" si="24"/>
        <v>48</v>
      </c>
    </row>
    <row r="103" spans="1:5" x14ac:dyDescent="0.25">
      <c r="A103" s="79">
        <f>$B$6</f>
        <v>2020</v>
      </c>
      <c r="B103" s="81">
        <f>C20-C27</f>
        <v>650</v>
      </c>
      <c r="C103" s="81">
        <f t="shared" ref="C103:E103" si="25">D20-D27</f>
        <v>205</v>
      </c>
      <c r="D103" s="81">
        <f t="shared" si="25"/>
        <v>85</v>
      </c>
      <c r="E103" s="81">
        <f t="shared" si="25"/>
        <v>20</v>
      </c>
    </row>
    <row r="104" spans="1:5" x14ac:dyDescent="0.25">
      <c r="A104" s="79">
        <f t="shared" ref="A104:A106" si="26">A103+1</f>
        <v>2021</v>
      </c>
      <c r="B104" s="81">
        <f t="shared" ref="B104:D104" si="27">C21-C28</f>
        <v>715</v>
      </c>
      <c r="C104" s="81">
        <f t="shared" si="27"/>
        <v>225</v>
      </c>
      <c r="D104" s="81">
        <f t="shared" si="27"/>
        <v>93</v>
      </c>
      <c r="E104" s="81"/>
    </row>
    <row r="105" spans="1:5" x14ac:dyDescent="0.25">
      <c r="A105" s="79">
        <f t="shared" si="26"/>
        <v>2022</v>
      </c>
      <c r="B105" s="81">
        <f t="shared" ref="B105:C105" si="28">C22-C29</f>
        <v>785</v>
      </c>
      <c r="C105" s="81">
        <f t="shared" si="28"/>
        <v>248</v>
      </c>
      <c r="D105" s="81"/>
      <c r="E105" s="81"/>
    </row>
    <row r="106" spans="1:5" x14ac:dyDescent="0.25">
      <c r="A106" s="79">
        <f t="shared" si="26"/>
        <v>2023</v>
      </c>
      <c r="B106" s="81">
        <f t="shared" ref="B106" si="29">C23-C30</f>
        <v>864</v>
      </c>
      <c r="C106" s="81"/>
      <c r="D106" s="81"/>
      <c r="E106" s="81"/>
    </row>
    <row r="108" spans="1:5" x14ac:dyDescent="0.25">
      <c r="A108" s="256" t="s">
        <v>25</v>
      </c>
      <c r="B108" s="258" t="s">
        <v>247</v>
      </c>
      <c r="C108" s="258"/>
      <c r="D108" s="258"/>
      <c r="E108" s="258"/>
    </row>
    <row r="109" spans="1:5" x14ac:dyDescent="0.25">
      <c r="A109" s="257"/>
      <c r="B109" s="80">
        <v>12</v>
      </c>
      <c r="C109" s="80">
        <f>B109+12</f>
        <v>24</v>
      </c>
      <c r="D109" s="80">
        <f t="shared" ref="D109:E109" si="30">C109+12</f>
        <v>36</v>
      </c>
      <c r="E109" s="80">
        <f t="shared" si="30"/>
        <v>48</v>
      </c>
    </row>
    <row r="110" spans="1:5" x14ac:dyDescent="0.25">
      <c r="A110" s="79">
        <f>$B$6</f>
        <v>2020</v>
      </c>
      <c r="B110" s="81">
        <f>C13+B103*B96</f>
        <v>10853847.9265898</v>
      </c>
      <c r="C110" s="81">
        <f t="shared" ref="C110:E110" si="31">D13+C103*C96</f>
        <v>15599346.993636165</v>
      </c>
      <c r="D110" s="81">
        <f t="shared" si="31"/>
        <v>16628571.377368152</v>
      </c>
      <c r="E110" s="89">
        <f t="shared" si="31"/>
        <v>17236120</v>
      </c>
    </row>
    <row r="111" spans="1:5" x14ac:dyDescent="0.25">
      <c r="A111" s="79">
        <f t="shared" ref="A111:A113" si="32">A110+1</f>
        <v>2021</v>
      </c>
      <c r="B111" s="81">
        <f t="shared" ref="B111:D111" si="33">C14+B104*B97</f>
        <v>12536194.355211221</v>
      </c>
      <c r="C111" s="81">
        <f t="shared" si="33"/>
        <v>18008027.937788017</v>
      </c>
      <c r="D111" s="89">
        <f t="shared" si="33"/>
        <v>19204718</v>
      </c>
      <c r="E111" s="81"/>
    </row>
    <row r="112" spans="1:5" x14ac:dyDescent="0.25">
      <c r="A112" s="79">
        <f t="shared" si="32"/>
        <v>2022</v>
      </c>
      <c r="B112" s="81">
        <f t="shared" ref="B112:C112" si="34">C15+B105*B98</f>
        <v>14474285.940255731</v>
      </c>
      <c r="C112" s="89">
        <f t="shared" si="34"/>
        <v>20808951</v>
      </c>
      <c r="D112" s="81"/>
      <c r="E112" s="81"/>
    </row>
    <row r="113" spans="1:5" x14ac:dyDescent="0.25">
      <c r="A113" s="79">
        <f t="shared" si="32"/>
        <v>2023</v>
      </c>
      <c r="B113" s="89">
        <f t="shared" ref="B113" si="35">C16+B106*B99</f>
        <v>16723013</v>
      </c>
      <c r="C113" s="81"/>
      <c r="D113" s="81"/>
      <c r="E113" s="81"/>
    </row>
    <row r="115" spans="1:5" x14ac:dyDescent="0.25">
      <c r="A115" s="256" t="s">
        <v>25</v>
      </c>
      <c r="B115" s="258" t="s">
        <v>252</v>
      </c>
      <c r="C115" s="258"/>
      <c r="D115" s="258"/>
      <c r="E115" s="258"/>
    </row>
    <row r="116" spans="1:5" x14ac:dyDescent="0.25">
      <c r="A116" s="257"/>
      <c r="B116" s="80" t="str">
        <f>B109&amp;"-"&amp;C109</f>
        <v>12-24</v>
      </c>
      <c r="C116" s="80" t="str">
        <f>C109&amp;"-"&amp;D109</f>
        <v>24-36</v>
      </c>
      <c r="D116" s="80" t="str">
        <f>D109&amp;"-"&amp;E109</f>
        <v>36-48</v>
      </c>
      <c r="E116" s="80" t="str">
        <f>E109&amp;"-Ultimate"</f>
        <v>48-Ultimate</v>
      </c>
    </row>
    <row r="117" spans="1:5" x14ac:dyDescent="0.25">
      <c r="A117" s="79">
        <f>$B$6</f>
        <v>2020</v>
      </c>
      <c r="B117" s="87">
        <f>C110/B110</f>
        <v>1.4372181275380524</v>
      </c>
      <c r="C117" s="87">
        <f t="shared" ref="C117:C118" si="36">D110/C110</f>
        <v>1.065978683861053</v>
      </c>
      <c r="D117" s="87">
        <f>E110/D110</f>
        <v>1.0365364293085775</v>
      </c>
    </row>
    <row r="118" spans="1:5" x14ac:dyDescent="0.25">
      <c r="A118" s="79">
        <f t="shared" ref="A118:A119" si="37">A117+1</f>
        <v>2021</v>
      </c>
      <c r="B118" s="87">
        <f t="shared" ref="B118:B119" si="38">C111/B111</f>
        <v>1.4364828294403547</v>
      </c>
      <c r="C118" s="87">
        <f t="shared" si="36"/>
        <v>1.0664531433617366</v>
      </c>
    </row>
    <row r="119" spans="1:5" x14ac:dyDescent="0.25">
      <c r="A119" s="80">
        <f t="shared" si="37"/>
        <v>2022</v>
      </c>
      <c r="B119" s="94">
        <f t="shared" si="38"/>
        <v>1.4376495728971586</v>
      </c>
      <c r="C119" s="95"/>
      <c r="D119" s="95"/>
      <c r="E119" s="95"/>
    </row>
    <row r="120" spans="1:5" x14ac:dyDescent="0.25">
      <c r="A120" s="1" t="s">
        <v>248</v>
      </c>
      <c r="B120" s="87">
        <f>AVERAGE(B117:B119)</f>
        <v>1.4371168432918553</v>
      </c>
      <c r="C120" s="87">
        <f>AVERAGE(C117:C119)</f>
        <v>1.0662159136113947</v>
      </c>
      <c r="D120" s="87">
        <f>AVERAGE(D117:D119)</f>
        <v>1.0365364293085775</v>
      </c>
    </row>
    <row r="121" spans="1:5" x14ac:dyDescent="0.25">
      <c r="A121" s="1" t="s">
        <v>256</v>
      </c>
      <c r="B121" s="87">
        <f>SUM(C110:C112)/SUM(B110:B112)</f>
        <v>1.4371396109894683</v>
      </c>
      <c r="C121" s="87">
        <f>SUM(D110:D111)/SUM(C110:C111)</f>
        <v>1.0662329161526582</v>
      </c>
      <c r="D121" s="87">
        <f>D120</f>
        <v>1.0365364293085775</v>
      </c>
    </row>
    <row r="122" spans="1:5" x14ac:dyDescent="0.25">
      <c r="A122" s="6" t="s">
        <v>249</v>
      </c>
      <c r="B122" s="92">
        <f>B120</f>
        <v>1.4371168432918553</v>
      </c>
      <c r="C122" s="92">
        <f t="shared" ref="C122:D122" si="39">C120</f>
        <v>1.0662159136113947</v>
      </c>
      <c r="D122" s="92">
        <f t="shared" si="39"/>
        <v>1.0365364293085775</v>
      </c>
      <c r="E122" s="92">
        <v>1</v>
      </c>
    </row>
    <row r="123" spans="1:5" x14ac:dyDescent="0.25">
      <c r="A123" s="6" t="s">
        <v>251</v>
      </c>
      <c r="B123" s="92">
        <f>B122*C123</f>
        <v>1.5882607727762137</v>
      </c>
      <c r="C123" s="92">
        <f>C122*D123</f>
        <v>1.1051716359667378</v>
      </c>
      <c r="D123" s="92">
        <f>D122*E123</f>
        <v>1.0365364293085775</v>
      </c>
      <c r="E123" s="92">
        <f>E122</f>
        <v>1</v>
      </c>
    </row>
    <row r="124" spans="1:5" x14ac:dyDescent="0.25">
      <c r="A124" s="90"/>
    </row>
    <row r="125" spans="1:5" x14ac:dyDescent="0.25">
      <c r="A125" s="90" t="s">
        <v>250</v>
      </c>
      <c r="E125" s="81">
        <f>B113*B123</f>
        <v>26560505.550526667</v>
      </c>
    </row>
    <row r="126" spans="1:5" x14ac:dyDescent="0.25">
      <c r="A126" s="90" t="s">
        <v>257</v>
      </c>
      <c r="E126" s="91">
        <f>E125-B113</f>
        <v>9837492.5505266674</v>
      </c>
    </row>
  </sheetData>
  <mergeCells count="20">
    <mergeCell ref="A115:A116"/>
    <mergeCell ref="B115:E115"/>
    <mergeCell ref="A94:A95"/>
    <mergeCell ref="B94:E94"/>
    <mergeCell ref="A101:A102"/>
    <mergeCell ref="B101:E101"/>
    <mergeCell ref="A108:A109"/>
    <mergeCell ref="B108:E108"/>
    <mergeCell ref="A68:A69"/>
    <mergeCell ref="B68:E68"/>
    <mergeCell ref="C4:F4"/>
    <mergeCell ref="C11:F11"/>
    <mergeCell ref="C18:F18"/>
    <mergeCell ref="C25:F25"/>
    <mergeCell ref="A43:A44"/>
    <mergeCell ref="A50:A51"/>
    <mergeCell ref="B43:E43"/>
    <mergeCell ref="B50:E50"/>
    <mergeCell ref="A61:A62"/>
    <mergeCell ref="B61:E61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1D0F3-CDA4-4706-9F6C-86E14AF1057B}">
  <dimension ref="A1:R145"/>
  <sheetViews>
    <sheetView zoomScale="120" zoomScaleNormal="120" workbookViewId="0"/>
  </sheetViews>
  <sheetFormatPr defaultColWidth="8.85546875" defaultRowHeight="15.75" x14ac:dyDescent="0.25"/>
  <cols>
    <col min="1" max="9" width="13.140625" style="1" customWidth="1"/>
    <col min="10" max="16384" width="8.85546875" style="1"/>
  </cols>
  <sheetData>
    <row r="1" spans="1:18" ht="18.75" x14ac:dyDescent="0.3">
      <c r="A1" s="2" t="s">
        <v>168</v>
      </c>
      <c r="B1" s="4"/>
      <c r="C1" s="8" t="s">
        <v>134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8" t="s">
        <v>169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25">
      <c r="A5" s="5" t="s">
        <v>4</v>
      </c>
      <c r="B5" s="8" t="s">
        <v>170</v>
      </c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  <c r="Q5" s="7"/>
      <c r="R5" s="7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2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 t="s">
        <v>387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A10" s="1" t="s">
        <v>388</v>
      </c>
      <c r="M10" s="7"/>
      <c r="N10" s="7"/>
    </row>
    <row r="11" spans="1:18" x14ac:dyDescent="0.25">
      <c r="A11" s="1" t="s">
        <v>386</v>
      </c>
      <c r="M11" s="7"/>
      <c r="N11" s="7"/>
    </row>
    <row r="12" spans="1:18" x14ac:dyDescent="0.25">
      <c r="A12" s="1" t="s">
        <v>389</v>
      </c>
      <c r="M12" s="7"/>
      <c r="N12" s="7"/>
    </row>
    <row r="14" spans="1:18" x14ac:dyDescent="0.25">
      <c r="A14" s="5" t="s">
        <v>5</v>
      </c>
      <c r="B14" s="8" t="s">
        <v>171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8" x14ac:dyDescent="0.25">
      <c r="A16" s="6" t="s">
        <v>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 t="s">
        <v>387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84" t="s">
        <v>390</v>
      </c>
    </row>
    <row r="20" spans="1:12" x14ac:dyDescent="0.25">
      <c r="A20" s="1" t="s">
        <v>389</v>
      </c>
    </row>
    <row r="22" spans="1:12" x14ac:dyDescent="0.25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</row>
    <row r="23" spans="1:12" x14ac:dyDescent="0.25">
      <c r="A23" s="60" t="s">
        <v>11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B25" s="62" t="s">
        <v>13</v>
      </c>
      <c r="C25" s="270" t="s">
        <v>172</v>
      </c>
      <c r="D25" s="271"/>
      <c r="E25" s="271"/>
      <c r="F25" s="271"/>
      <c r="G25" s="271"/>
      <c r="H25" s="271"/>
      <c r="I25" s="4"/>
      <c r="J25" s="4"/>
      <c r="K25" s="4"/>
      <c r="L25" s="4"/>
    </row>
    <row r="26" spans="1:12" x14ac:dyDescent="0.25">
      <c r="A26" s="4"/>
      <c r="B26" s="65" t="s">
        <v>14</v>
      </c>
      <c r="C26" s="63">
        <v>12</v>
      </c>
      <c r="D26" s="64">
        <v>24</v>
      </c>
      <c r="E26" s="64">
        <v>36</v>
      </c>
      <c r="F26" s="64">
        <v>48</v>
      </c>
      <c r="G26" s="64">
        <v>60</v>
      </c>
      <c r="H26" s="64">
        <v>72</v>
      </c>
      <c r="I26" s="4"/>
      <c r="J26" s="4"/>
      <c r="K26" s="4"/>
      <c r="L26" s="4"/>
    </row>
    <row r="27" spans="1:12" x14ac:dyDescent="0.25">
      <c r="A27" s="4"/>
      <c r="B27" s="66">
        <v>2018</v>
      </c>
      <c r="C27" s="67">
        <v>1518006</v>
      </c>
      <c r="D27" s="67">
        <v>3284534</v>
      </c>
      <c r="E27" s="67">
        <v>4838338</v>
      </c>
      <c r="F27" s="67">
        <v>6146551</v>
      </c>
      <c r="G27" s="67">
        <v>6945034</v>
      </c>
      <c r="H27" s="67">
        <v>7149672</v>
      </c>
      <c r="I27" s="4"/>
      <c r="J27" s="4"/>
      <c r="K27" s="4"/>
      <c r="L27" s="4"/>
    </row>
    <row r="28" spans="1:12" x14ac:dyDescent="0.25">
      <c r="A28" s="4"/>
      <c r="B28" s="68">
        <v>2019</v>
      </c>
      <c r="C28" s="67">
        <v>1582770</v>
      </c>
      <c r="D28" s="67">
        <v>3552084</v>
      </c>
      <c r="E28" s="67">
        <v>5075462</v>
      </c>
      <c r="F28" s="67">
        <v>6140083</v>
      </c>
      <c r="G28" s="67">
        <v>7043201</v>
      </c>
      <c r="H28" s="68"/>
      <c r="I28" s="4"/>
      <c r="J28" s="4"/>
      <c r="K28" s="4"/>
      <c r="L28" s="4"/>
    </row>
    <row r="29" spans="1:12" x14ac:dyDescent="0.25">
      <c r="A29" s="4"/>
      <c r="B29" s="68">
        <v>2020</v>
      </c>
      <c r="C29" s="67">
        <v>1573601</v>
      </c>
      <c r="D29" s="67">
        <v>3607985</v>
      </c>
      <c r="E29" s="67">
        <v>4923578</v>
      </c>
      <c r="F29" s="67">
        <v>6208567</v>
      </c>
      <c r="G29" s="68"/>
      <c r="H29" s="68"/>
      <c r="I29" s="4"/>
      <c r="J29" s="4"/>
      <c r="K29" s="4"/>
      <c r="L29" s="4"/>
    </row>
    <row r="30" spans="1:12" x14ac:dyDescent="0.25">
      <c r="A30" s="4"/>
      <c r="B30" s="68">
        <v>2021</v>
      </c>
      <c r="C30" s="67">
        <v>1608502</v>
      </c>
      <c r="D30" s="67">
        <v>3404322</v>
      </c>
      <c r="E30" s="67">
        <v>4897059</v>
      </c>
      <c r="F30" s="68"/>
      <c r="G30" s="68"/>
      <c r="H30" s="68"/>
      <c r="I30" s="4"/>
      <c r="J30" s="4"/>
      <c r="K30" s="4"/>
      <c r="L30" s="4"/>
    </row>
    <row r="31" spans="1:12" x14ac:dyDescent="0.25">
      <c r="A31" s="4"/>
      <c r="B31" s="68">
        <v>2022</v>
      </c>
      <c r="C31" s="67">
        <v>1448977</v>
      </c>
      <c r="D31" s="67">
        <v>3339496</v>
      </c>
      <c r="E31" s="68"/>
      <c r="F31" s="68"/>
      <c r="G31" s="68"/>
      <c r="H31" s="68"/>
      <c r="I31" s="4"/>
      <c r="J31" s="4"/>
      <c r="K31" s="4"/>
      <c r="L31" s="4"/>
    </row>
    <row r="32" spans="1:12" x14ac:dyDescent="0.25">
      <c r="A32" s="4"/>
      <c r="B32" s="68">
        <v>2023</v>
      </c>
      <c r="C32" s="67">
        <v>1791306</v>
      </c>
      <c r="D32" s="68"/>
      <c r="E32" s="68"/>
      <c r="F32" s="68"/>
      <c r="G32" s="68"/>
      <c r="H32" s="68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 t="s">
        <v>173</v>
      </c>
      <c r="C34" s="4"/>
      <c r="D34" s="4"/>
      <c r="E34" s="4"/>
      <c r="F34" s="4"/>
      <c r="G34" s="69">
        <v>0.2</v>
      </c>
      <c r="H34" s="4" t="s">
        <v>174</v>
      </c>
      <c r="I34" s="4"/>
      <c r="J34" s="4"/>
      <c r="K34" s="4"/>
      <c r="L34" s="4"/>
    </row>
    <row r="36" spans="1:12" x14ac:dyDescent="0.25">
      <c r="A36" s="5" t="s">
        <v>0</v>
      </c>
      <c r="B36" s="8" t="s">
        <v>175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6" t="s">
        <v>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5">
      <c r="A40" s="252" t="s">
        <v>483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253" t="s">
        <v>485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179" t="s">
        <v>13</v>
      </c>
      <c r="B43" s="272" t="s">
        <v>391</v>
      </c>
      <c r="C43" s="273"/>
      <c r="D43" s="273"/>
      <c r="E43" s="273"/>
      <c r="F43" s="273"/>
      <c r="G43" s="273"/>
      <c r="H43" s="6"/>
      <c r="I43" s="6"/>
      <c r="J43" s="6"/>
      <c r="K43" s="6"/>
      <c r="L43" s="6"/>
    </row>
    <row r="44" spans="1:12" x14ac:dyDescent="0.25">
      <c r="A44" s="182" t="s">
        <v>14</v>
      </c>
      <c r="B44" s="180">
        <v>12</v>
      </c>
      <c r="C44" s="181">
        <v>24</v>
      </c>
      <c r="D44" s="181">
        <v>36</v>
      </c>
      <c r="E44" s="181">
        <v>48</v>
      </c>
      <c r="F44" s="181">
        <v>60</v>
      </c>
      <c r="G44" s="181">
        <v>72</v>
      </c>
      <c r="H44" s="6"/>
      <c r="I44" s="6"/>
      <c r="J44" s="6"/>
      <c r="K44" s="6"/>
      <c r="L44" s="6"/>
    </row>
    <row r="45" spans="1:12" x14ac:dyDescent="0.25">
      <c r="A45" s="182">
        <v>2018</v>
      </c>
      <c r="B45" s="183">
        <f t="shared" ref="B45:B50" si="0">C27</f>
        <v>1518006</v>
      </c>
      <c r="C45" s="183">
        <f>D27-C27</f>
        <v>1766528</v>
      </c>
      <c r="D45" s="183">
        <f>E27-D27</f>
        <v>1553804</v>
      </c>
      <c r="E45" s="183">
        <f>F27-E27</f>
        <v>1308213</v>
      </c>
      <c r="F45" s="183">
        <f>G27-F27</f>
        <v>798483</v>
      </c>
      <c r="G45" s="183">
        <f>H27-G27</f>
        <v>204638</v>
      </c>
      <c r="H45" s="6"/>
      <c r="I45" s="6"/>
      <c r="J45" s="6"/>
      <c r="K45" s="6"/>
      <c r="L45" s="6"/>
    </row>
    <row r="46" spans="1:12" x14ac:dyDescent="0.25">
      <c r="A46" s="181">
        <v>2019</v>
      </c>
      <c r="B46" s="183">
        <f t="shared" si="0"/>
        <v>1582770</v>
      </c>
      <c r="C46" s="183">
        <f>D28-C28</f>
        <v>1969314</v>
      </c>
      <c r="D46" s="183">
        <f>E28-D28</f>
        <v>1523378</v>
      </c>
      <c r="E46" s="183">
        <f>F28-E28</f>
        <v>1064621</v>
      </c>
      <c r="F46" s="183">
        <f>G28-F28</f>
        <v>903118</v>
      </c>
      <c r="G46" s="183"/>
      <c r="H46" s="6"/>
      <c r="I46" s="6"/>
      <c r="J46" s="6"/>
      <c r="K46" s="6"/>
      <c r="L46" s="6"/>
    </row>
    <row r="47" spans="1:12" x14ac:dyDescent="0.25">
      <c r="A47" s="181">
        <v>2020</v>
      </c>
      <c r="B47" s="183">
        <f t="shared" si="0"/>
        <v>1573601</v>
      </c>
      <c r="C47" s="183">
        <f>D29-C29</f>
        <v>2034384</v>
      </c>
      <c r="D47" s="183">
        <f>E29-D29</f>
        <v>1315593</v>
      </c>
      <c r="E47" s="183">
        <f>F29-E29</f>
        <v>1284989</v>
      </c>
      <c r="F47" s="183"/>
      <c r="G47" s="183"/>
      <c r="H47" s="6"/>
      <c r="I47" s="6"/>
      <c r="J47" s="6"/>
      <c r="K47" s="6"/>
      <c r="L47" s="6"/>
    </row>
    <row r="48" spans="1:12" x14ac:dyDescent="0.25">
      <c r="A48" s="181">
        <v>2021</v>
      </c>
      <c r="B48" s="183">
        <f t="shared" si="0"/>
        <v>1608502</v>
      </c>
      <c r="C48" s="183">
        <f>D30-C30</f>
        <v>1795820</v>
      </c>
      <c r="D48" s="183">
        <f>E30-D30</f>
        <v>1492737</v>
      </c>
      <c r="E48" s="183"/>
      <c r="F48" s="183"/>
      <c r="G48" s="183"/>
      <c r="H48" s="6"/>
      <c r="I48" s="6"/>
      <c r="J48" s="6"/>
      <c r="K48" s="6"/>
      <c r="L48" s="6"/>
    </row>
    <row r="49" spans="1:12" x14ac:dyDescent="0.25">
      <c r="A49" s="181">
        <v>2022</v>
      </c>
      <c r="B49" s="183">
        <f t="shared" si="0"/>
        <v>1448977</v>
      </c>
      <c r="C49" s="183">
        <f>D31-C31</f>
        <v>1890519</v>
      </c>
      <c r="D49" s="183"/>
      <c r="E49" s="183"/>
      <c r="F49" s="183"/>
      <c r="G49" s="183"/>
      <c r="H49" s="6"/>
      <c r="I49" s="6"/>
      <c r="J49" s="6"/>
      <c r="K49" s="6"/>
      <c r="L49" s="6"/>
    </row>
    <row r="50" spans="1:12" x14ac:dyDescent="0.25">
      <c r="A50" s="181">
        <v>2023</v>
      </c>
      <c r="B50" s="183">
        <f t="shared" si="0"/>
        <v>1791306</v>
      </c>
      <c r="C50" s="183"/>
      <c r="D50" s="183"/>
      <c r="E50" s="183"/>
      <c r="F50" s="183"/>
      <c r="G50" s="183"/>
      <c r="H50" s="6"/>
      <c r="I50" s="6"/>
      <c r="J50" s="6"/>
      <c r="K50" s="6"/>
      <c r="L50" s="6"/>
    </row>
    <row r="51" spans="1:12" x14ac:dyDescent="0.25">
      <c r="H51" s="6"/>
      <c r="I51" s="6"/>
      <c r="J51" s="6"/>
      <c r="K51" s="6"/>
      <c r="L51" s="6"/>
    </row>
    <row r="52" spans="1:12" x14ac:dyDescent="0.25">
      <c r="A52" s="179" t="s">
        <v>13</v>
      </c>
      <c r="B52" s="272" t="s">
        <v>392</v>
      </c>
      <c r="C52" s="273"/>
      <c r="D52" s="273"/>
      <c r="E52" s="273"/>
      <c r="F52" s="273"/>
      <c r="G52" s="273"/>
      <c r="H52" s="6"/>
      <c r="I52" s="6"/>
      <c r="J52" s="6"/>
      <c r="K52" s="6"/>
      <c r="L52" s="6"/>
    </row>
    <row r="53" spans="1:12" x14ac:dyDescent="0.25">
      <c r="A53" s="182" t="s">
        <v>14</v>
      </c>
      <c r="B53" s="180">
        <v>12</v>
      </c>
      <c r="C53" s="181">
        <v>24</v>
      </c>
      <c r="D53" s="181">
        <v>36</v>
      </c>
      <c r="E53" s="181">
        <v>48</v>
      </c>
      <c r="F53" s="181">
        <v>60</v>
      </c>
      <c r="G53" s="181">
        <v>72</v>
      </c>
      <c r="H53" s="6"/>
      <c r="I53" s="6"/>
      <c r="J53" s="6"/>
      <c r="K53" s="6"/>
      <c r="L53" s="6"/>
    </row>
    <row r="54" spans="1:12" x14ac:dyDescent="0.25">
      <c r="A54" s="182">
        <v>2018</v>
      </c>
      <c r="B54" s="184">
        <v>0.8</v>
      </c>
      <c r="C54" s="184">
        <v>0.8</v>
      </c>
      <c r="D54" s="184">
        <v>0.8</v>
      </c>
      <c r="E54" s="184">
        <v>0.9</v>
      </c>
      <c r="F54" s="184">
        <v>1</v>
      </c>
      <c r="G54" s="184">
        <v>1</v>
      </c>
      <c r="H54" s="6"/>
      <c r="I54" s="6"/>
      <c r="J54" s="6"/>
      <c r="K54" s="6"/>
      <c r="L54" s="6"/>
    </row>
    <row r="55" spans="1:12" x14ac:dyDescent="0.25">
      <c r="A55" s="181">
        <v>2019</v>
      </c>
      <c r="B55" s="184">
        <v>0.8</v>
      </c>
      <c r="C55" s="184">
        <v>0.8</v>
      </c>
      <c r="D55" s="184">
        <v>0.9</v>
      </c>
      <c r="E55" s="184">
        <v>1</v>
      </c>
      <c r="F55" s="184">
        <v>1</v>
      </c>
      <c r="G55" s="184"/>
      <c r="H55" s="6"/>
      <c r="I55" s="6"/>
      <c r="J55" s="6"/>
      <c r="K55" s="6"/>
      <c r="L55" s="6"/>
    </row>
    <row r="56" spans="1:12" x14ac:dyDescent="0.25">
      <c r="A56" s="181">
        <v>2020</v>
      </c>
      <c r="B56" s="184">
        <v>0.8</v>
      </c>
      <c r="C56" s="184">
        <v>0.9</v>
      </c>
      <c r="D56" s="184">
        <v>1</v>
      </c>
      <c r="E56" s="184">
        <v>1</v>
      </c>
      <c r="F56" s="184"/>
      <c r="G56" s="184"/>
      <c r="H56" s="6"/>
      <c r="I56" s="6"/>
      <c r="J56" s="6"/>
      <c r="K56" s="6"/>
      <c r="L56" s="6"/>
    </row>
    <row r="57" spans="1:12" x14ac:dyDescent="0.25">
      <c r="A57" s="181">
        <v>2021</v>
      </c>
      <c r="B57" s="184">
        <v>0.9</v>
      </c>
      <c r="C57" s="184">
        <v>1</v>
      </c>
      <c r="D57" s="184">
        <v>1</v>
      </c>
      <c r="E57" s="184"/>
      <c r="F57" s="184"/>
      <c r="G57" s="184"/>
      <c r="H57" s="6"/>
      <c r="I57" s="6"/>
      <c r="J57" s="6"/>
      <c r="K57" s="6"/>
      <c r="L57" s="6"/>
    </row>
    <row r="58" spans="1:12" x14ac:dyDescent="0.25">
      <c r="A58" s="181">
        <v>2022</v>
      </c>
      <c r="B58" s="184">
        <v>1</v>
      </c>
      <c r="C58" s="184">
        <v>1</v>
      </c>
      <c r="D58" s="184"/>
      <c r="E58" s="184"/>
      <c r="F58" s="184"/>
      <c r="G58" s="184"/>
      <c r="H58" s="6"/>
      <c r="I58" s="6"/>
      <c r="J58" s="6"/>
      <c r="K58" s="6"/>
      <c r="L58" s="6"/>
    </row>
    <row r="59" spans="1:12" x14ac:dyDescent="0.25">
      <c r="A59" s="181">
        <v>2023</v>
      </c>
      <c r="B59" s="184">
        <v>1</v>
      </c>
      <c r="C59" s="184"/>
      <c r="D59" s="184"/>
      <c r="E59" s="184"/>
      <c r="F59" s="184"/>
      <c r="G59" s="184"/>
      <c r="H59" s="6"/>
      <c r="I59" s="6"/>
      <c r="J59" s="6"/>
      <c r="K59" s="6"/>
      <c r="L59" s="6"/>
    </row>
    <row r="60" spans="1:12" x14ac:dyDescent="0.25">
      <c r="H60" s="6"/>
      <c r="I60" s="6"/>
      <c r="J60" s="6"/>
      <c r="K60" s="6"/>
      <c r="L60" s="6"/>
    </row>
    <row r="61" spans="1:12" x14ac:dyDescent="0.25">
      <c r="A61" s="179" t="s">
        <v>13</v>
      </c>
      <c r="B61" s="272" t="s">
        <v>393</v>
      </c>
      <c r="C61" s="273"/>
      <c r="D61" s="273"/>
      <c r="E61" s="273"/>
      <c r="F61" s="273"/>
      <c r="G61" s="273"/>
      <c r="H61" s="6"/>
      <c r="I61" s="6"/>
      <c r="J61" s="6"/>
      <c r="K61" s="6"/>
      <c r="L61" s="6"/>
    </row>
    <row r="62" spans="1:12" x14ac:dyDescent="0.25">
      <c r="A62" s="182" t="s">
        <v>14</v>
      </c>
      <c r="B62" s="180">
        <v>12</v>
      </c>
      <c r="C62" s="181">
        <v>24</v>
      </c>
      <c r="D62" s="181">
        <v>36</v>
      </c>
      <c r="E62" s="181">
        <v>48</v>
      </c>
      <c r="F62" s="181">
        <v>60</v>
      </c>
      <c r="G62" s="181">
        <v>72</v>
      </c>
      <c r="H62" s="6"/>
      <c r="I62" s="6"/>
      <c r="J62" s="6"/>
      <c r="K62" s="6"/>
      <c r="L62" s="6"/>
    </row>
    <row r="63" spans="1:12" x14ac:dyDescent="0.25">
      <c r="A63" s="182">
        <v>2018</v>
      </c>
      <c r="B63" s="183">
        <f t="shared" ref="B63:G63" si="1">B45*B54</f>
        <v>1214404.8</v>
      </c>
      <c r="C63" s="183">
        <f t="shared" si="1"/>
        <v>1413222.4000000001</v>
      </c>
      <c r="D63" s="183">
        <f t="shared" si="1"/>
        <v>1243043.2</v>
      </c>
      <c r="E63" s="183">
        <f t="shared" si="1"/>
        <v>1177391.7</v>
      </c>
      <c r="F63" s="183">
        <f t="shared" si="1"/>
        <v>798483</v>
      </c>
      <c r="G63" s="183">
        <f t="shared" si="1"/>
        <v>204638</v>
      </c>
      <c r="H63" s="6"/>
      <c r="I63" s="6"/>
      <c r="J63" s="6"/>
      <c r="K63" s="6"/>
      <c r="L63" s="6"/>
    </row>
    <row r="64" spans="1:12" x14ac:dyDescent="0.25">
      <c r="A64" s="181">
        <v>2019</v>
      </c>
      <c r="B64" s="183">
        <f>B46*B55</f>
        <v>1266216</v>
      </c>
      <c r="C64" s="183">
        <f>C46*C55</f>
        <v>1575451.2000000002</v>
      </c>
      <c r="D64" s="183">
        <f>D46*D55</f>
        <v>1371040.2</v>
      </c>
      <c r="E64" s="183">
        <f>E46*E55</f>
        <v>1064621</v>
      </c>
      <c r="F64" s="183">
        <f>F46*F55</f>
        <v>903118</v>
      </c>
      <c r="G64" s="183"/>
      <c r="H64" s="6"/>
      <c r="I64" s="6"/>
      <c r="J64" s="6"/>
      <c r="K64" s="6"/>
      <c r="L64" s="6"/>
    </row>
    <row r="65" spans="1:12" x14ac:dyDescent="0.25">
      <c r="A65" s="181">
        <v>2020</v>
      </c>
      <c r="B65" s="183">
        <f>B47*B56</f>
        <v>1258880.8</v>
      </c>
      <c r="C65" s="183">
        <f>C47*C56</f>
        <v>1830945.6</v>
      </c>
      <c r="D65" s="183">
        <f>D47*D56</f>
        <v>1315593</v>
      </c>
      <c r="E65" s="183">
        <f>E47*E56</f>
        <v>1284989</v>
      </c>
      <c r="F65" s="183"/>
      <c r="G65" s="183"/>
      <c r="H65" s="6"/>
      <c r="I65" s="6"/>
      <c r="J65" s="6"/>
      <c r="K65" s="6"/>
      <c r="L65" s="6"/>
    </row>
    <row r="66" spans="1:12" x14ac:dyDescent="0.25">
      <c r="A66" s="181">
        <v>2021</v>
      </c>
      <c r="B66" s="183">
        <f>B48*B57</f>
        <v>1447651.8</v>
      </c>
      <c r="C66" s="183">
        <f>C48*C57</f>
        <v>1795820</v>
      </c>
      <c r="D66" s="183">
        <f>D48*D57</f>
        <v>1492737</v>
      </c>
      <c r="E66" s="183"/>
      <c r="F66" s="183"/>
      <c r="G66" s="183"/>
      <c r="H66" s="6"/>
      <c r="I66" s="6"/>
      <c r="J66" s="6"/>
      <c r="K66" s="6"/>
      <c r="L66" s="6"/>
    </row>
    <row r="67" spans="1:12" x14ac:dyDescent="0.25">
      <c r="A67" s="181">
        <v>2022</v>
      </c>
      <c r="B67" s="183">
        <f>B49*B58</f>
        <v>1448977</v>
      </c>
      <c r="C67" s="183">
        <f>C49*C58</f>
        <v>1890519</v>
      </c>
      <c r="D67" s="183"/>
      <c r="E67" s="183"/>
      <c r="F67" s="183"/>
      <c r="G67" s="183"/>
      <c r="H67" s="6"/>
      <c r="I67" s="6"/>
      <c r="J67" s="6"/>
      <c r="K67" s="6"/>
      <c r="L67" s="6"/>
    </row>
    <row r="68" spans="1:12" x14ac:dyDescent="0.25">
      <c r="A68" s="181">
        <v>2023</v>
      </c>
      <c r="B68" s="183">
        <f>B50*B59</f>
        <v>1791306</v>
      </c>
      <c r="C68" s="183"/>
      <c r="D68" s="183"/>
      <c r="E68" s="183"/>
      <c r="F68" s="183"/>
      <c r="G68" s="183"/>
      <c r="H68" s="6"/>
      <c r="I68" s="6"/>
      <c r="J68" s="6"/>
      <c r="K68" s="6"/>
      <c r="L68" s="6"/>
    </row>
    <row r="69" spans="1:12" x14ac:dyDescent="0.25">
      <c r="H69" s="6"/>
      <c r="I69" s="6"/>
      <c r="J69" s="6"/>
      <c r="K69" s="6"/>
      <c r="L69" s="6"/>
    </row>
    <row r="70" spans="1:12" x14ac:dyDescent="0.25">
      <c r="A70" s="179" t="s">
        <v>13</v>
      </c>
      <c r="B70" s="272" t="s">
        <v>394</v>
      </c>
      <c r="C70" s="273"/>
      <c r="D70" s="273"/>
      <c r="E70" s="273"/>
      <c r="F70" s="273"/>
      <c r="G70" s="273"/>
      <c r="H70" s="6"/>
      <c r="I70" s="6"/>
      <c r="J70" s="6"/>
      <c r="K70" s="6"/>
      <c r="L70" s="6"/>
    </row>
    <row r="71" spans="1:12" x14ac:dyDescent="0.25">
      <c r="A71" s="182" t="s">
        <v>14</v>
      </c>
      <c r="B71" s="180">
        <v>12</v>
      </c>
      <c r="C71" s="181">
        <v>24</v>
      </c>
      <c r="D71" s="181">
        <v>36</v>
      </c>
      <c r="E71" s="181">
        <v>48</v>
      </c>
      <c r="F71" s="181">
        <v>60</v>
      </c>
      <c r="G71" s="181">
        <v>72</v>
      </c>
      <c r="H71" s="6"/>
      <c r="I71" s="6"/>
      <c r="J71" s="6"/>
      <c r="K71" s="6"/>
      <c r="L71" s="6"/>
    </row>
    <row r="72" spans="1:12" x14ac:dyDescent="0.25">
      <c r="A72" s="182">
        <v>2018</v>
      </c>
      <c r="B72" s="183">
        <f>B63</f>
        <v>1214404.8</v>
      </c>
      <c r="C72" s="183">
        <f>B72+C63</f>
        <v>2627627.2000000002</v>
      </c>
      <c r="D72" s="183">
        <f>C72+D63</f>
        <v>3870670.4000000004</v>
      </c>
      <c r="E72" s="183">
        <f>D72+E63</f>
        <v>5048062.1000000006</v>
      </c>
      <c r="F72" s="183">
        <f>E72+F63</f>
        <v>5846545.1000000006</v>
      </c>
      <c r="G72" s="183">
        <f>F72+G63</f>
        <v>6051183.1000000006</v>
      </c>
      <c r="H72" s="6"/>
      <c r="I72" s="6"/>
      <c r="J72" s="6"/>
      <c r="K72" s="6"/>
      <c r="L72" s="6"/>
    </row>
    <row r="73" spans="1:12" x14ac:dyDescent="0.25">
      <c r="A73" s="181">
        <v>2019</v>
      </c>
      <c r="B73" s="183">
        <f t="shared" ref="B73:B77" si="2">B64</f>
        <v>1266216</v>
      </c>
      <c r="C73" s="183">
        <f t="shared" ref="C73:F76" si="3">B73+C64</f>
        <v>2841667.2</v>
      </c>
      <c r="D73" s="183">
        <f t="shared" si="3"/>
        <v>4212707.4000000004</v>
      </c>
      <c r="E73" s="183">
        <f t="shared" si="3"/>
        <v>5277328.4000000004</v>
      </c>
      <c r="F73" s="183">
        <f t="shared" si="3"/>
        <v>6180446.4000000004</v>
      </c>
      <c r="G73" s="183"/>
      <c r="H73" s="6"/>
      <c r="I73" s="6"/>
      <c r="J73" s="6"/>
      <c r="K73" s="6"/>
      <c r="L73" s="6"/>
    </row>
    <row r="74" spans="1:12" x14ac:dyDescent="0.25">
      <c r="A74" s="181">
        <v>2020</v>
      </c>
      <c r="B74" s="183">
        <f t="shared" si="2"/>
        <v>1258880.8</v>
      </c>
      <c r="C74" s="183">
        <f t="shared" si="3"/>
        <v>3089826.4000000004</v>
      </c>
      <c r="D74" s="183">
        <f t="shared" si="3"/>
        <v>4405419.4000000004</v>
      </c>
      <c r="E74" s="183">
        <f t="shared" si="3"/>
        <v>5690408.4000000004</v>
      </c>
      <c r="F74" s="183"/>
      <c r="G74" s="183"/>
      <c r="H74" s="6"/>
      <c r="I74" s="6"/>
      <c r="J74" s="6"/>
      <c r="K74" s="6"/>
      <c r="L74" s="6"/>
    </row>
    <row r="75" spans="1:12" x14ac:dyDescent="0.25">
      <c r="A75" s="181">
        <v>2021</v>
      </c>
      <c r="B75" s="183">
        <f t="shared" si="2"/>
        <v>1447651.8</v>
      </c>
      <c r="C75" s="183">
        <f t="shared" si="3"/>
        <v>3243471.8</v>
      </c>
      <c r="D75" s="183">
        <f t="shared" si="3"/>
        <v>4736208.8</v>
      </c>
      <c r="E75" s="183"/>
      <c r="F75" s="183"/>
      <c r="G75" s="183"/>
      <c r="H75" s="6"/>
      <c r="I75" s="6"/>
      <c r="J75" s="6"/>
      <c r="K75" s="6"/>
      <c r="L75" s="6"/>
    </row>
    <row r="76" spans="1:12" x14ac:dyDescent="0.25">
      <c r="A76" s="181">
        <v>2022</v>
      </c>
      <c r="B76" s="183">
        <f t="shared" si="2"/>
        <v>1448977</v>
      </c>
      <c r="C76" s="183">
        <f t="shared" si="3"/>
        <v>3339496</v>
      </c>
      <c r="D76" s="183"/>
      <c r="E76" s="183"/>
      <c r="F76" s="183"/>
      <c r="G76" s="183"/>
      <c r="H76" s="6"/>
      <c r="I76" s="6"/>
      <c r="J76" s="6"/>
      <c r="K76" s="6"/>
      <c r="L76" s="6"/>
    </row>
    <row r="77" spans="1:12" x14ac:dyDescent="0.25">
      <c r="A77" s="181">
        <v>2023</v>
      </c>
      <c r="B77" s="183">
        <f t="shared" si="2"/>
        <v>1791306</v>
      </c>
      <c r="C77" s="183"/>
      <c r="D77" s="183"/>
      <c r="E77" s="183"/>
      <c r="F77" s="183"/>
      <c r="G77" s="183"/>
      <c r="H77" s="6"/>
      <c r="I77" s="6"/>
      <c r="J77" s="6"/>
      <c r="K77" s="6"/>
      <c r="L77" s="6"/>
    </row>
    <row r="79" spans="1:12" x14ac:dyDescent="0.25">
      <c r="A79" s="3"/>
      <c r="B79" s="3"/>
      <c r="C79" s="3"/>
      <c r="D79" s="3"/>
      <c r="E79" s="3"/>
      <c r="F79" s="3"/>
      <c r="G79" s="4"/>
      <c r="H79" s="4"/>
      <c r="I79" s="4"/>
      <c r="J79" s="4"/>
      <c r="K79" s="4"/>
      <c r="L79" s="4"/>
    </row>
    <row r="80" spans="1:12" x14ac:dyDescent="0.25">
      <c r="A80" s="60" t="s">
        <v>11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47.25" x14ac:dyDescent="0.25">
      <c r="A81" s="4"/>
      <c r="B81" s="72" t="s">
        <v>25</v>
      </c>
      <c r="C81" s="70" t="s">
        <v>176</v>
      </c>
      <c r="D81" s="70" t="s">
        <v>177</v>
      </c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4"/>
      <c r="B82" s="68">
        <v>2024</v>
      </c>
      <c r="C82" s="67">
        <v>10600</v>
      </c>
      <c r="D82" s="71">
        <v>7105054</v>
      </c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4"/>
      <c r="B83" s="68">
        <v>2025</v>
      </c>
      <c r="C83" s="67">
        <v>10710</v>
      </c>
      <c r="D83" s="71">
        <v>7694043</v>
      </c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4"/>
      <c r="B85" s="61" t="s">
        <v>178</v>
      </c>
      <c r="C85" s="4"/>
      <c r="D85" s="4"/>
      <c r="E85" s="4"/>
      <c r="F85" s="73">
        <v>-3.0000000000000001E-3</v>
      </c>
      <c r="G85" s="4"/>
      <c r="H85" s="4"/>
      <c r="I85" s="4"/>
      <c r="J85" s="4"/>
      <c r="K85" s="4"/>
      <c r="L85" s="4"/>
    </row>
    <row r="86" spans="1:12" x14ac:dyDescent="0.25">
      <c r="A86" s="4"/>
      <c r="B86" s="61" t="s">
        <v>179</v>
      </c>
      <c r="C86" s="4"/>
      <c r="D86" s="4"/>
      <c r="E86" s="4"/>
      <c r="F86" s="73">
        <v>7.4999999999999997E-2</v>
      </c>
      <c r="G86" s="4"/>
      <c r="H86" s="4"/>
      <c r="I86" s="4"/>
      <c r="J86" s="4"/>
      <c r="K86" s="4"/>
      <c r="L86" s="4"/>
    </row>
    <row r="87" spans="1:12" x14ac:dyDescent="0.25">
      <c r="A87" s="4"/>
      <c r="B87" s="61" t="s">
        <v>180</v>
      </c>
      <c r="C87" s="4"/>
      <c r="D87" s="4"/>
      <c r="E87" s="4"/>
      <c r="F87" s="73">
        <v>0.106</v>
      </c>
      <c r="G87" s="4"/>
      <c r="H87" s="4"/>
      <c r="I87" s="4"/>
      <c r="J87" s="4"/>
      <c r="K87" s="4"/>
      <c r="L87" s="4"/>
    </row>
    <row r="88" spans="1:12" x14ac:dyDescent="0.25">
      <c r="A88" s="4"/>
      <c r="B88" s="61" t="s">
        <v>181</v>
      </c>
      <c r="C88" s="4"/>
      <c r="D88" s="4"/>
      <c r="E88" s="4"/>
      <c r="F88" s="67">
        <v>5900</v>
      </c>
      <c r="G88" s="4"/>
      <c r="H88" s="4"/>
      <c r="I88" s="4"/>
      <c r="J88" s="4"/>
      <c r="K88" s="4"/>
      <c r="L88" s="4"/>
    </row>
    <row r="90" spans="1:12" x14ac:dyDescent="0.25">
      <c r="A90" s="5" t="s">
        <v>2</v>
      </c>
      <c r="B90" s="4" t="s">
        <v>182</v>
      </c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6" t="s">
        <v>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47.25" x14ac:dyDescent="0.25">
      <c r="A94" s="192" t="s">
        <v>25</v>
      </c>
      <c r="B94" s="192" t="s">
        <v>395</v>
      </c>
      <c r="C94" s="192" t="s">
        <v>396</v>
      </c>
      <c r="D94" s="192" t="s">
        <v>397</v>
      </c>
      <c r="E94" s="192" t="s">
        <v>177</v>
      </c>
      <c r="F94" s="6"/>
      <c r="G94" s="6"/>
      <c r="H94" s="6"/>
      <c r="I94" s="6"/>
      <c r="J94" s="6"/>
      <c r="K94" s="6"/>
      <c r="L94" s="6"/>
    </row>
    <row r="95" spans="1:12" x14ac:dyDescent="0.25">
      <c r="A95" s="119">
        <f>B82</f>
        <v>2024</v>
      </c>
      <c r="B95" s="185">
        <f>$F$87*(1+$F$85)^(A95-$A$77)</f>
        <v>0.105682</v>
      </c>
      <c r="C95" s="186">
        <f>B95*C82</f>
        <v>1120.2292</v>
      </c>
      <c r="D95" s="186">
        <f>$F$88*(1+$F$86)^(A95-$A$77)</f>
        <v>6342.5</v>
      </c>
      <c r="E95" s="183">
        <f>D95*C95</f>
        <v>7105053.7010000004</v>
      </c>
      <c r="F95" s="6"/>
      <c r="G95" s="6"/>
      <c r="H95" s="6"/>
      <c r="I95" s="6"/>
      <c r="J95" s="6"/>
      <c r="K95" s="6"/>
      <c r="L95" s="6"/>
    </row>
    <row r="96" spans="1:12" x14ac:dyDescent="0.25">
      <c r="A96" s="119">
        <f>B83</f>
        <v>2025</v>
      </c>
      <c r="B96" s="185">
        <f>$F$87*(1+$F$85)^(A96-$A$77)</f>
        <v>0.105364954</v>
      </c>
      <c r="C96" s="186">
        <f>B96*C83</f>
        <v>1128.4586573399999</v>
      </c>
      <c r="D96" s="186">
        <f>$F$88*(1+$F$86)^(A96-$A$77)</f>
        <v>6818.1874999999991</v>
      </c>
      <c r="E96" s="183">
        <f t="shared" ref="E96" si="4">D96*C96</f>
        <v>7694042.7117423695</v>
      </c>
      <c r="F96" s="6"/>
      <c r="G96" s="6"/>
      <c r="H96" s="6"/>
      <c r="I96" s="6"/>
      <c r="J96" s="6"/>
      <c r="K96" s="6"/>
      <c r="L96" s="6"/>
    </row>
    <row r="98" spans="1:12" x14ac:dyDescent="0.25">
      <c r="A98" s="3"/>
      <c r="B98" s="3"/>
      <c r="C98" s="3"/>
      <c r="D98" s="3"/>
      <c r="E98" s="3"/>
      <c r="F98" s="3"/>
      <c r="G98" s="4"/>
      <c r="H98" s="4"/>
      <c r="I98" s="4"/>
      <c r="J98" s="4"/>
      <c r="K98" s="4"/>
      <c r="L98" s="4"/>
    </row>
    <row r="99" spans="1:12" x14ac:dyDescent="0.25">
      <c r="A99" s="60" t="s">
        <v>183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ht="47.25" x14ac:dyDescent="0.25">
      <c r="A101" s="4"/>
      <c r="B101" s="72" t="s">
        <v>25</v>
      </c>
      <c r="C101" s="72" t="s">
        <v>177</v>
      </c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4"/>
      <c r="B102" s="68">
        <v>2018</v>
      </c>
      <c r="C102" s="67">
        <v>7149672</v>
      </c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4"/>
      <c r="B103" s="68">
        <v>2019</v>
      </c>
      <c r="C103" s="67">
        <v>7289724</v>
      </c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4"/>
      <c r="B104" s="68">
        <v>2020</v>
      </c>
      <c r="C104" s="67">
        <v>7484846</v>
      </c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4"/>
      <c r="B105" s="68">
        <v>2021</v>
      </c>
      <c r="C105" s="67">
        <v>7571028</v>
      </c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5">
      <c r="A106" s="4"/>
      <c r="B106" s="68">
        <v>2022</v>
      </c>
      <c r="C106" s="67">
        <v>7534985</v>
      </c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4"/>
      <c r="B107" s="68">
        <v>2023</v>
      </c>
      <c r="C107" s="67">
        <v>9222361</v>
      </c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4"/>
      <c r="B108" s="68">
        <v>2024</v>
      </c>
      <c r="C108" s="67">
        <v>7105054</v>
      </c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4"/>
      <c r="B109" s="68">
        <v>2025</v>
      </c>
      <c r="C109" s="67">
        <v>7694043</v>
      </c>
      <c r="D109" s="4"/>
      <c r="E109" s="4"/>
      <c r="F109" s="4"/>
      <c r="G109" s="4"/>
      <c r="H109" s="4"/>
      <c r="I109" s="4"/>
      <c r="J109" s="4"/>
      <c r="K109" s="4"/>
      <c r="L109" s="4"/>
    </row>
    <row r="111" spans="1:12" x14ac:dyDescent="0.25">
      <c r="A111" s="5" t="s">
        <v>3</v>
      </c>
      <c r="B111" s="4" t="s">
        <v>184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25">
      <c r="A113" s="6" t="s">
        <v>1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5">
      <c r="A115" s="254" t="s">
        <v>483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25">
      <c r="A116" s="253" t="s">
        <v>486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25">
      <c r="A118" s="274" t="s">
        <v>25</v>
      </c>
      <c r="B118" s="272" t="s">
        <v>16</v>
      </c>
      <c r="C118" s="273"/>
      <c r="D118" s="273"/>
      <c r="E118" s="273"/>
      <c r="F118" s="273"/>
      <c r="G118" s="273"/>
      <c r="H118" s="269" t="s">
        <v>177</v>
      </c>
      <c r="I118"/>
      <c r="J118" s="6"/>
      <c r="K118" s="6"/>
      <c r="L118" s="6"/>
    </row>
    <row r="119" spans="1:12" ht="31.5" customHeight="1" x14ac:dyDescent="0.25">
      <c r="A119" s="275"/>
      <c r="B119" s="180">
        <v>12</v>
      </c>
      <c r="C119" s="181">
        <v>24</v>
      </c>
      <c r="D119" s="181">
        <v>36</v>
      </c>
      <c r="E119" s="181">
        <v>48</v>
      </c>
      <c r="F119" s="181">
        <v>60</v>
      </c>
      <c r="G119" s="181">
        <v>72</v>
      </c>
      <c r="H119" s="269"/>
      <c r="I119"/>
      <c r="J119" s="6"/>
      <c r="K119" s="6"/>
    </row>
    <row r="120" spans="1:12" x14ac:dyDescent="0.25">
      <c r="A120" s="182">
        <v>2018</v>
      </c>
      <c r="B120" s="183">
        <f t="shared" ref="B120:G120" si="5">C27</f>
        <v>1518006</v>
      </c>
      <c r="C120" s="183">
        <f t="shared" si="5"/>
        <v>3284534</v>
      </c>
      <c r="D120" s="183">
        <f t="shared" si="5"/>
        <v>4838338</v>
      </c>
      <c r="E120" s="183">
        <f t="shared" si="5"/>
        <v>6146551</v>
      </c>
      <c r="F120" s="183">
        <f t="shared" si="5"/>
        <v>6945034</v>
      </c>
      <c r="G120" s="193">
        <f t="shared" si="5"/>
        <v>7149672</v>
      </c>
      <c r="H120" s="183">
        <f t="shared" ref="H120:H127" si="6">C102</f>
        <v>7149672</v>
      </c>
      <c r="I120"/>
      <c r="J120" s="6"/>
      <c r="K120" s="6"/>
    </row>
    <row r="121" spans="1:12" x14ac:dyDescent="0.25">
      <c r="A121" s="181">
        <v>2019</v>
      </c>
      <c r="B121" s="183">
        <f>C28</f>
        <v>1582770</v>
      </c>
      <c r="C121" s="183">
        <f>D28</f>
        <v>3552084</v>
      </c>
      <c r="D121" s="183">
        <f>E28</f>
        <v>5075462</v>
      </c>
      <c r="E121" s="183">
        <f>F28</f>
        <v>6140083</v>
      </c>
      <c r="F121" s="193">
        <f>G28</f>
        <v>7043201</v>
      </c>
      <c r="G121" s="183">
        <f t="shared" ref="G121:G127" si="7">F121*F$130</f>
        <v>7289723.9999999991</v>
      </c>
      <c r="H121" s="183">
        <f t="shared" si="6"/>
        <v>7289724</v>
      </c>
      <c r="I121"/>
      <c r="J121" s="6"/>
      <c r="K121" s="6"/>
    </row>
    <row r="122" spans="1:12" x14ac:dyDescent="0.25">
      <c r="A122" s="181">
        <v>2020</v>
      </c>
      <c r="B122" s="183">
        <f>C29</f>
        <v>1573601</v>
      </c>
      <c r="C122" s="183">
        <f>D29</f>
        <v>3607985</v>
      </c>
      <c r="D122" s="183">
        <f>E29</f>
        <v>4923578</v>
      </c>
      <c r="E122" s="193">
        <f>F29</f>
        <v>6208567</v>
      </c>
      <c r="F122" s="183">
        <f t="shared" ref="F122:F127" si="8">E122*E$130</f>
        <v>7231724.3879255233</v>
      </c>
      <c r="G122" s="183">
        <f t="shared" si="7"/>
        <v>7484845.9999999991</v>
      </c>
      <c r="H122" s="183">
        <f t="shared" si="6"/>
        <v>7484846</v>
      </c>
      <c r="I122"/>
      <c r="J122" s="6"/>
      <c r="K122" s="6"/>
    </row>
    <row r="123" spans="1:12" x14ac:dyDescent="0.25">
      <c r="A123" s="181">
        <v>2021</v>
      </c>
      <c r="B123" s="183">
        <f>C30</f>
        <v>1608502</v>
      </c>
      <c r="C123" s="183">
        <f>D30</f>
        <v>3404322</v>
      </c>
      <c r="D123" s="193">
        <f>E30</f>
        <v>4897059</v>
      </c>
      <c r="E123" s="183">
        <f>D123*D$130</f>
        <v>6280053.6706935596</v>
      </c>
      <c r="F123" s="183">
        <f t="shared" si="8"/>
        <v>7314991.8955269093</v>
      </c>
      <c r="G123" s="183">
        <f t="shared" si="7"/>
        <v>7571028</v>
      </c>
      <c r="H123" s="183">
        <f t="shared" si="6"/>
        <v>7571028</v>
      </c>
      <c r="I123"/>
      <c r="J123" s="6"/>
      <c r="K123" s="6"/>
    </row>
    <row r="124" spans="1:12" x14ac:dyDescent="0.25">
      <c r="A124" s="181">
        <v>2022</v>
      </c>
      <c r="B124" s="183">
        <f>C31</f>
        <v>1448977</v>
      </c>
      <c r="C124" s="193">
        <f>D31</f>
        <v>3339496</v>
      </c>
      <c r="D124" s="183">
        <f>C124*C$130</f>
        <v>4873745.8254169719</v>
      </c>
      <c r="E124" s="183">
        <f>D124*D$130</f>
        <v>6250156.5451707374</v>
      </c>
      <c r="F124" s="183">
        <f t="shared" si="8"/>
        <v>7280167.7933190633</v>
      </c>
      <c r="G124" s="183">
        <f t="shared" si="7"/>
        <v>7534985.0000000019</v>
      </c>
      <c r="H124" s="183">
        <f t="shared" si="6"/>
        <v>7534985</v>
      </c>
      <c r="I124"/>
      <c r="J124" s="6"/>
      <c r="K124" s="6"/>
    </row>
    <row r="125" spans="1:12" x14ac:dyDescent="0.25">
      <c r="A125" s="181">
        <v>2023</v>
      </c>
      <c r="B125" s="193">
        <f>C32</f>
        <v>1791306</v>
      </c>
      <c r="C125" s="183">
        <f>B125*B$130</f>
        <v>4087338.948923721</v>
      </c>
      <c r="D125" s="183">
        <f>C125*C$130</f>
        <v>5965166.9411735116</v>
      </c>
      <c r="E125" s="183">
        <f>D125*D$130</f>
        <v>7649809.5173483882</v>
      </c>
      <c r="F125" s="183">
        <f t="shared" si="8"/>
        <v>8910480.3168900516</v>
      </c>
      <c r="G125" s="183">
        <f t="shared" si="7"/>
        <v>9222361.0000000019</v>
      </c>
      <c r="H125" s="183">
        <f t="shared" si="6"/>
        <v>9222361</v>
      </c>
      <c r="I125"/>
      <c r="J125" s="6"/>
      <c r="K125" s="6"/>
    </row>
    <row r="126" spans="1:12" x14ac:dyDescent="0.25">
      <c r="A126" s="181">
        <f>A125+1</f>
        <v>2024</v>
      </c>
      <c r="B126" s="183">
        <f>$H126/B$131</f>
        <v>1380050.7115828581</v>
      </c>
      <c r="C126" s="183">
        <f>B126*B$130</f>
        <v>3148951.1144062001</v>
      </c>
      <c r="D126" s="183">
        <f>C126*C$130</f>
        <v>4595659.7487403303</v>
      </c>
      <c r="E126" s="183">
        <f>D126*D$130</f>
        <v>5893535.2574545974</v>
      </c>
      <c r="F126" s="183">
        <f t="shared" si="8"/>
        <v>6864776.1476091566</v>
      </c>
      <c r="G126" s="183">
        <f t="shared" si="7"/>
        <v>7105054.0000000009</v>
      </c>
      <c r="H126" s="183">
        <f t="shared" si="6"/>
        <v>7105054</v>
      </c>
      <c r="I126"/>
      <c r="J126" s="6"/>
      <c r="K126" s="6"/>
    </row>
    <row r="127" spans="1:12" x14ac:dyDescent="0.25">
      <c r="A127" s="181">
        <f t="shared" ref="A127" si="9">A126+1</f>
        <v>2025</v>
      </c>
      <c r="B127" s="183">
        <f>$H127/B$131</f>
        <v>1494453.0354166357</v>
      </c>
      <c r="C127" s="183">
        <f>B127*B$130</f>
        <v>3409990.3081861478</v>
      </c>
      <c r="D127" s="183">
        <f>C127*C$130</f>
        <v>4976627.0207344377</v>
      </c>
      <c r="E127" s="183">
        <f>D127*D$130</f>
        <v>6382092.760008825</v>
      </c>
      <c r="F127" s="183">
        <f t="shared" si="8"/>
        <v>7433846.7892121859</v>
      </c>
      <c r="G127" s="183">
        <f t="shared" si="7"/>
        <v>7694043.0000000009</v>
      </c>
      <c r="H127" s="183">
        <f t="shared" si="6"/>
        <v>7694043</v>
      </c>
      <c r="I127"/>
      <c r="J127" s="6"/>
      <c r="K127" s="6"/>
    </row>
    <row r="128" spans="1:12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8" x14ac:dyDescent="0.25">
      <c r="B129" s="85" t="s">
        <v>398</v>
      </c>
      <c r="C129" s="85" t="s">
        <v>399</v>
      </c>
      <c r="D129" s="85" t="s">
        <v>400</v>
      </c>
      <c r="E129" s="85" t="s">
        <v>401</v>
      </c>
      <c r="F129" s="85" t="s">
        <v>402</v>
      </c>
      <c r="G129" s="187" t="s">
        <v>403</v>
      </c>
    </row>
    <row r="130" spans="1:8" x14ac:dyDescent="0.25">
      <c r="A130" s="1" t="s">
        <v>404</v>
      </c>
      <c r="B130" s="87">
        <f t="shared" ref="B130:E130" si="10">B131/C131</f>
        <v>2.2817647844219362</v>
      </c>
      <c r="C130" s="87">
        <f t="shared" si="10"/>
        <v>1.4594255616467191</v>
      </c>
      <c r="D130" s="87">
        <f t="shared" si="10"/>
        <v>1.2824133159705773</v>
      </c>
      <c r="E130" s="87">
        <f t="shared" si="10"/>
        <v>1.1647976719789805</v>
      </c>
      <c r="F130" s="87">
        <f>F131/G131</f>
        <v>1.0350015568205422</v>
      </c>
      <c r="G130" s="87">
        <v>1</v>
      </c>
    </row>
    <row r="131" spans="1:8" x14ac:dyDescent="0.25">
      <c r="A131" s="1" t="s">
        <v>405</v>
      </c>
      <c r="B131" s="194">
        <f>H125/B125</f>
        <v>5.1484006640964752</v>
      </c>
      <c r="C131" s="194">
        <f>H124/C124</f>
        <v>2.2563240081736886</v>
      </c>
      <c r="D131" s="194">
        <f>H123/D123</f>
        <v>1.5460356920347498</v>
      </c>
      <c r="E131" s="194">
        <f>H122/E122</f>
        <v>1.2055674038791881</v>
      </c>
      <c r="F131" s="194">
        <f>H121/F121</f>
        <v>1.0350015568205422</v>
      </c>
      <c r="G131" s="194">
        <f>H120/G120</f>
        <v>1</v>
      </c>
    </row>
    <row r="133" spans="1:8" x14ac:dyDescent="0.25">
      <c r="A133" s="274" t="s">
        <v>25</v>
      </c>
      <c r="B133" s="272" t="s">
        <v>391</v>
      </c>
      <c r="C133" s="273"/>
      <c r="D133" s="273"/>
      <c r="E133" s="273"/>
      <c r="F133" s="273"/>
      <c r="G133" s="273"/>
      <c r="H133"/>
    </row>
    <row r="134" spans="1:8" x14ac:dyDescent="0.25">
      <c r="A134" s="275"/>
      <c r="B134" s="180">
        <v>12</v>
      </c>
      <c r="C134" s="181">
        <v>24</v>
      </c>
      <c r="D134" s="181">
        <v>36</v>
      </c>
      <c r="E134" s="181">
        <v>48</v>
      </c>
      <c r="F134" s="181">
        <v>60</v>
      </c>
      <c r="G134" s="181">
        <v>72</v>
      </c>
      <c r="H134"/>
    </row>
    <row r="135" spans="1:8" x14ac:dyDescent="0.25">
      <c r="A135" s="181">
        <f t="shared" ref="A135:B142" si="11">A120</f>
        <v>2018</v>
      </c>
      <c r="B135" s="183">
        <f t="shared" si="11"/>
        <v>1518006</v>
      </c>
      <c r="C135" s="183">
        <f t="shared" ref="C135:G142" si="12">C120-B120</f>
        <v>1766528</v>
      </c>
      <c r="D135" s="183">
        <f t="shared" si="12"/>
        <v>1553804</v>
      </c>
      <c r="E135" s="183">
        <f t="shared" si="12"/>
        <v>1308213</v>
      </c>
      <c r="F135" s="183">
        <f t="shared" si="12"/>
        <v>798483</v>
      </c>
      <c r="G135" s="183">
        <f t="shared" si="12"/>
        <v>204638</v>
      </c>
      <c r="H135"/>
    </row>
    <row r="136" spans="1:8" x14ac:dyDescent="0.25">
      <c r="A136" s="181">
        <f t="shared" si="11"/>
        <v>2019</v>
      </c>
      <c r="B136" s="183">
        <f t="shared" si="11"/>
        <v>1582770</v>
      </c>
      <c r="C136" s="183">
        <f t="shared" si="12"/>
        <v>1969314</v>
      </c>
      <c r="D136" s="183">
        <f t="shared" si="12"/>
        <v>1523378</v>
      </c>
      <c r="E136" s="183">
        <f t="shared" si="12"/>
        <v>1064621</v>
      </c>
      <c r="F136" s="183">
        <f t="shared" si="12"/>
        <v>903118</v>
      </c>
      <c r="G136" s="188">
        <f t="shared" si="12"/>
        <v>246522.99999999907</v>
      </c>
      <c r="H136"/>
    </row>
    <row r="137" spans="1:8" x14ac:dyDescent="0.25">
      <c r="A137" s="181">
        <f t="shared" si="11"/>
        <v>2020</v>
      </c>
      <c r="B137" s="183">
        <f t="shared" si="11"/>
        <v>1573601</v>
      </c>
      <c r="C137" s="183">
        <f t="shared" si="12"/>
        <v>2034384</v>
      </c>
      <c r="D137" s="183">
        <f t="shared" si="12"/>
        <v>1315593</v>
      </c>
      <c r="E137" s="183">
        <f t="shared" si="12"/>
        <v>1284989</v>
      </c>
      <c r="F137" s="188">
        <f t="shared" si="12"/>
        <v>1023157.3879255233</v>
      </c>
      <c r="G137" s="190">
        <f t="shared" si="12"/>
        <v>253121.61207447574</v>
      </c>
      <c r="H137"/>
    </row>
    <row r="138" spans="1:8" x14ac:dyDescent="0.25">
      <c r="A138" s="181">
        <f t="shared" si="11"/>
        <v>2021</v>
      </c>
      <c r="B138" s="183">
        <f t="shared" si="11"/>
        <v>1608502</v>
      </c>
      <c r="C138" s="183">
        <f t="shared" si="12"/>
        <v>1795820</v>
      </c>
      <c r="D138" s="183">
        <f t="shared" si="12"/>
        <v>1492737</v>
      </c>
      <c r="E138" s="188">
        <f t="shared" si="12"/>
        <v>1382994.6706935596</v>
      </c>
      <c r="F138" s="190">
        <f t="shared" si="12"/>
        <v>1034938.2248333497</v>
      </c>
      <c r="G138" s="183">
        <f t="shared" si="12"/>
        <v>256036.10447309073</v>
      </c>
      <c r="H138"/>
    </row>
    <row r="139" spans="1:8" x14ac:dyDescent="0.25">
      <c r="A139" s="181">
        <f t="shared" si="11"/>
        <v>2022</v>
      </c>
      <c r="B139" s="183">
        <f t="shared" si="11"/>
        <v>1448977</v>
      </c>
      <c r="C139" s="183">
        <f t="shared" si="12"/>
        <v>1890519</v>
      </c>
      <c r="D139" s="188">
        <f t="shared" si="12"/>
        <v>1534249.8254169719</v>
      </c>
      <c r="E139" s="190">
        <f t="shared" si="12"/>
        <v>1376410.7197537655</v>
      </c>
      <c r="F139" s="183">
        <f t="shared" si="12"/>
        <v>1030011.2481483258</v>
      </c>
      <c r="G139" s="183">
        <f t="shared" si="12"/>
        <v>254817.2066809386</v>
      </c>
      <c r="H139"/>
    </row>
    <row r="140" spans="1:8" x14ac:dyDescent="0.25">
      <c r="A140" s="181">
        <f t="shared" si="11"/>
        <v>2023</v>
      </c>
      <c r="B140" s="183">
        <f t="shared" si="11"/>
        <v>1791306</v>
      </c>
      <c r="C140" s="188">
        <f t="shared" si="12"/>
        <v>2296032.948923721</v>
      </c>
      <c r="D140" s="190">
        <f t="shared" si="12"/>
        <v>1877827.9922497906</v>
      </c>
      <c r="E140" s="183">
        <f t="shared" si="12"/>
        <v>1684642.5761748767</v>
      </c>
      <c r="F140" s="183">
        <f t="shared" si="12"/>
        <v>1260670.7995416634</v>
      </c>
      <c r="G140" s="183">
        <f t="shared" si="12"/>
        <v>311880.68310995027</v>
      </c>
      <c r="H140"/>
    </row>
    <row r="141" spans="1:8" x14ac:dyDescent="0.25">
      <c r="A141" s="181">
        <f t="shared" si="11"/>
        <v>2024</v>
      </c>
      <c r="B141" s="188">
        <f t="shared" si="11"/>
        <v>1380050.7115828581</v>
      </c>
      <c r="C141" s="190">
        <f t="shared" si="12"/>
        <v>1768900.402823342</v>
      </c>
      <c r="D141" s="183">
        <f t="shared" si="12"/>
        <v>1446708.6343341302</v>
      </c>
      <c r="E141" s="183">
        <f t="shared" si="12"/>
        <v>1297875.5087142671</v>
      </c>
      <c r="F141" s="183">
        <f t="shared" si="12"/>
        <v>971240.89015455917</v>
      </c>
      <c r="G141" s="183">
        <f t="shared" si="12"/>
        <v>240277.85239084437</v>
      </c>
      <c r="H141"/>
    </row>
    <row r="142" spans="1:8" x14ac:dyDescent="0.25">
      <c r="A142" s="181">
        <f t="shared" si="11"/>
        <v>2025</v>
      </c>
      <c r="B142" s="190">
        <f t="shared" si="11"/>
        <v>1494453.0354166357</v>
      </c>
      <c r="C142" s="183">
        <f t="shared" si="12"/>
        <v>1915537.2727695121</v>
      </c>
      <c r="D142" s="183">
        <f t="shared" si="12"/>
        <v>1566636.7125482899</v>
      </c>
      <c r="E142" s="183">
        <f t="shared" si="12"/>
        <v>1405465.7392743872</v>
      </c>
      <c r="F142" s="183">
        <f t="shared" si="12"/>
        <v>1051754.0292033609</v>
      </c>
      <c r="G142" s="183">
        <f t="shared" si="12"/>
        <v>260196.21078781504</v>
      </c>
      <c r="H142"/>
    </row>
    <row r="144" spans="1:8" x14ac:dyDescent="0.25">
      <c r="A144" s="1" t="s">
        <v>406</v>
      </c>
      <c r="C144" s="189">
        <f>B141+C140+D139+E138+F137+G136+H135</f>
        <v>7863008.544542633</v>
      </c>
      <c r="E144"/>
    </row>
    <row r="145" spans="1:3" x14ac:dyDescent="0.25">
      <c r="A145" s="1" t="s">
        <v>407</v>
      </c>
      <c r="C145" s="191">
        <f>B142+C141+D140+E139+F138+G137+H136</f>
        <v>7805651.9871513592</v>
      </c>
    </row>
  </sheetData>
  <mergeCells count="10">
    <mergeCell ref="A133:A134"/>
    <mergeCell ref="B70:G70"/>
    <mergeCell ref="B118:G118"/>
    <mergeCell ref="B133:G133"/>
    <mergeCell ref="A118:A119"/>
    <mergeCell ref="H118:H119"/>
    <mergeCell ref="C25:H25"/>
    <mergeCell ref="B43:G43"/>
    <mergeCell ref="B52:G52"/>
    <mergeCell ref="B61:G6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F352-B388-49A3-9224-883DD0141766}">
  <dimension ref="A1:Z62"/>
  <sheetViews>
    <sheetView zoomScale="120" zoomScaleNormal="120" workbookViewId="0"/>
  </sheetViews>
  <sheetFormatPr defaultColWidth="8.85546875" defaultRowHeight="15.75" x14ac:dyDescent="0.25"/>
  <cols>
    <col min="1" max="1" width="17.7109375" style="1" customWidth="1"/>
    <col min="2" max="6" width="14.7109375" style="1" customWidth="1"/>
    <col min="7" max="7" width="8.85546875" style="1"/>
    <col min="8" max="8" width="8.85546875" style="1" customWidth="1"/>
    <col min="9" max="12" width="8.85546875" style="1"/>
    <col min="13" max="24" width="4" style="1" customWidth="1"/>
    <col min="25" max="16384" width="8.85546875" style="1"/>
  </cols>
  <sheetData>
    <row r="1" spans="1:12" ht="18.75" x14ac:dyDescent="0.3">
      <c r="A1" s="2" t="s">
        <v>185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263" t="s">
        <v>186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4"/>
    </row>
    <row r="4" spans="1:12" x14ac:dyDescent="0.2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4"/>
    </row>
    <row r="5" spans="1:12" x14ac:dyDescent="0.25">
      <c r="A5" s="9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9"/>
      <c r="B6" s="279" t="s">
        <v>187</v>
      </c>
      <c r="C6" s="279"/>
      <c r="D6" s="279"/>
      <c r="E6" s="4"/>
      <c r="F6" s="4"/>
      <c r="G6" s="4"/>
      <c r="H6" s="4"/>
      <c r="I6" s="4"/>
      <c r="J6" s="4"/>
      <c r="K6" s="4"/>
      <c r="L6" s="4"/>
    </row>
    <row r="7" spans="1:12" x14ac:dyDescent="0.25">
      <c r="A7" s="9"/>
      <c r="B7" s="278" t="s">
        <v>188</v>
      </c>
      <c r="C7" s="278"/>
      <c r="D7" s="72" t="s">
        <v>189</v>
      </c>
      <c r="E7" s="4"/>
      <c r="F7" s="4"/>
      <c r="G7" s="4"/>
      <c r="H7" s="4"/>
      <c r="I7" s="4"/>
      <c r="J7" s="4"/>
      <c r="K7" s="4"/>
      <c r="L7" s="4"/>
    </row>
    <row r="8" spans="1:12" x14ac:dyDescent="0.25">
      <c r="A8" s="9"/>
      <c r="B8" s="277">
        <v>44805</v>
      </c>
      <c r="C8" s="277"/>
      <c r="D8" s="74">
        <v>0.05</v>
      </c>
      <c r="E8" s="4"/>
      <c r="F8" s="4"/>
      <c r="G8" s="4"/>
      <c r="H8" s="4"/>
      <c r="I8" s="4"/>
      <c r="J8" s="4"/>
      <c r="K8" s="4"/>
      <c r="L8" s="4"/>
    </row>
    <row r="9" spans="1:12" x14ac:dyDescent="0.25">
      <c r="A9" s="9"/>
      <c r="B9" s="277">
        <v>45292</v>
      </c>
      <c r="C9" s="277"/>
      <c r="D9" s="74">
        <v>7.0000000000000007E-2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4"/>
      <c r="B11" s="61" t="s">
        <v>191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9"/>
      <c r="B12" s="61" t="s">
        <v>111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4"/>
      <c r="B13" s="61" t="s">
        <v>192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A14" s="4"/>
      <c r="B14" s="61" t="s">
        <v>193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/>
      <c r="B15" s="61" t="s">
        <v>194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/>
      <c r="B16" s="61" t="s">
        <v>195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26" x14ac:dyDescent="0.25">
      <c r="A17" s="4"/>
      <c r="B17" s="61" t="s">
        <v>196</v>
      </c>
      <c r="C17" s="4"/>
      <c r="D17" s="73">
        <v>-5.0000000000000001E-3</v>
      </c>
      <c r="E17" s="4"/>
      <c r="F17" s="4"/>
      <c r="G17" s="4"/>
      <c r="H17" s="4"/>
      <c r="I17" s="4"/>
      <c r="J17" s="4"/>
      <c r="K17" s="4"/>
      <c r="L17" s="4"/>
    </row>
    <row r="18" spans="1:2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26" x14ac:dyDescent="0.25">
      <c r="A19" s="60" t="s">
        <v>190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26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26" x14ac:dyDescent="0.25">
      <c r="A21" s="5" t="s">
        <v>4</v>
      </c>
      <c r="B21" s="4" t="s">
        <v>197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7"/>
      <c r="N21" s="7"/>
      <c r="O21" s="7"/>
      <c r="P21" s="7"/>
      <c r="Q21" s="7"/>
      <c r="R21" s="7"/>
    </row>
    <row r="22" spans="1:2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6" x14ac:dyDescent="0.25">
      <c r="A23" s="6" t="s">
        <v>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11" t="s">
        <v>10</v>
      </c>
      <c r="U23"/>
      <c r="V23"/>
      <c r="W23"/>
      <c r="X23"/>
    </row>
    <row r="24" spans="1:26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U24"/>
      <c r="V24"/>
      <c r="W24"/>
      <c r="X24"/>
    </row>
    <row r="25" spans="1:26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276">
        <v>2022</v>
      </c>
      <c r="N25" s="276"/>
      <c r="O25" s="276"/>
      <c r="P25" s="276"/>
      <c r="Q25" s="276">
        <f>M25+1</f>
        <v>2023</v>
      </c>
      <c r="R25" s="276"/>
      <c r="S25" s="276"/>
      <c r="T25" s="276"/>
      <c r="U25" s="276">
        <f>Q25+1</f>
        <v>2024</v>
      </c>
      <c r="V25" s="276"/>
      <c r="W25" s="276"/>
      <c r="X25" s="276"/>
    </row>
    <row r="26" spans="1:26" ht="20.100000000000001" customHeight="1" x14ac:dyDescent="0.25">
      <c r="M26" s="12"/>
      <c r="N26" s="13"/>
      <c r="O26" s="13"/>
      <c r="P26" s="14"/>
      <c r="Q26" s="12"/>
      <c r="R26" s="13"/>
      <c r="S26" s="13"/>
      <c r="T26" s="14"/>
      <c r="U26" s="12"/>
      <c r="V26" s="13"/>
      <c r="W26" s="13"/>
      <c r="X26" s="14"/>
    </row>
    <row r="27" spans="1:26" ht="19.899999999999999" customHeight="1" x14ac:dyDescent="0.25">
      <c r="M27" s="15"/>
      <c r="N27" s="7"/>
      <c r="O27" s="7"/>
      <c r="P27" s="16"/>
      <c r="Q27" s="15"/>
      <c r="R27" s="7"/>
      <c r="S27" s="7"/>
      <c r="T27" s="16"/>
      <c r="U27" s="15"/>
      <c r="V27" s="7"/>
      <c r="W27" s="7"/>
      <c r="X27" s="16"/>
    </row>
    <row r="28" spans="1:26" ht="19.899999999999999" customHeight="1" x14ac:dyDescent="0.25">
      <c r="M28" s="15"/>
      <c r="N28" s="7"/>
      <c r="O28" s="7"/>
      <c r="P28" s="16">
        <v>1</v>
      </c>
      <c r="Q28" s="15"/>
      <c r="R28" s="276">
        <v>1.05</v>
      </c>
      <c r="S28" s="276"/>
      <c r="T28" s="16"/>
      <c r="U28" s="15"/>
      <c r="V28" s="7"/>
      <c r="W28" s="196" t="s">
        <v>419</v>
      </c>
      <c r="X28" s="16"/>
      <c r="Z28" s="197"/>
    </row>
    <row r="29" spans="1:26" ht="19.899999999999999" customHeight="1" x14ac:dyDescent="0.25">
      <c r="M29" s="17"/>
      <c r="N29" s="18"/>
      <c r="O29" s="18"/>
      <c r="P29" s="19"/>
      <c r="Q29" s="17"/>
      <c r="R29" s="18"/>
      <c r="S29" s="18"/>
      <c r="T29" s="19"/>
      <c r="U29" s="17"/>
      <c r="V29" s="18"/>
      <c r="W29" s="18"/>
      <c r="X29" s="19"/>
    </row>
    <row r="30" spans="1:26" x14ac:dyDescent="0.25">
      <c r="A30" s="139" t="s">
        <v>408</v>
      </c>
      <c r="B30" s="139"/>
      <c r="M30" s="7"/>
      <c r="N30" s="7"/>
      <c r="O30" s="195">
        <v>0.05</v>
      </c>
      <c r="P30" s="7"/>
      <c r="Q30" s="7"/>
      <c r="R30" s="7"/>
      <c r="S30" s="7"/>
      <c r="T30" s="195">
        <v>7.0000000000000007E-2</v>
      </c>
      <c r="U30" s="7"/>
      <c r="V30" s="7"/>
      <c r="W30" s="7"/>
      <c r="X30" s="7"/>
    </row>
    <row r="31" spans="1:26" x14ac:dyDescent="0.25">
      <c r="A31" s="96" t="s">
        <v>409</v>
      </c>
      <c r="B31" s="96" t="s">
        <v>410</v>
      </c>
      <c r="C31" s="96" t="s">
        <v>411</v>
      </c>
      <c r="D31" s="203" t="s">
        <v>412</v>
      </c>
      <c r="E31" s="139"/>
      <c r="F31" s="13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6" x14ac:dyDescent="0.25">
      <c r="A32" s="85" t="s">
        <v>413</v>
      </c>
      <c r="B32" s="85" t="s">
        <v>414</v>
      </c>
      <c r="C32" s="85" t="s">
        <v>415</v>
      </c>
      <c r="D32" s="85">
        <v>2022</v>
      </c>
      <c r="E32" s="85">
        <f>D32+1</f>
        <v>2023</v>
      </c>
      <c r="F32" s="85">
        <f t="shared" ref="F32" si="0">E32+1</f>
        <v>2024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A33" s="96" t="s">
        <v>416</v>
      </c>
      <c r="B33" s="96"/>
      <c r="C33" s="96"/>
      <c r="D33" s="96"/>
      <c r="E33" s="206">
        <f>0.5*(2/12)^2</f>
        <v>1.3888888888888888E-2</v>
      </c>
      <c r="F33" s="9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A34" s="144"/>
      <c r="B34" s="134"/>
      <c r="C34" s="143">
        <v>1</v>
      </c>
      <c r="D34" s="206">
        <f>0.5*(10/12)^2-D35</f>
        <v>0.29166666666666674</v>
      </c>
      <c r="E34" s="206">
        <f>0.5*(8/12)^2-E33</f>
        <v>0.20833333333333331</v>
      </c>
      <c r="F34" s="206">
        <v>0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207">
        <f>B8</f>
        <v>44805</v>
      </c>
      <c r="B35" s="209">
        <f>D8</f>
        <v>0.05</v>
      </c>
      <c r="C35" s="143">
        <f>C34*(1+B35)</f>
        <v>1.05</v>
      </c>
      <c r="D35" s="206">
        <f>0.5*(4/12)^2</f>
        <v>5.5555555555555552E-2</v>
      </c>
      <c r="E35" s="206">
        <f>1-SUM(E33:E34)</f>
        <v>0.77777777777777779</v>
      </c>
      <c r="F35" s="206">
        <v>0.5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210">
        <f>B9</f>
        <v>45292</v>
      </c>
      <c r="B36" s="211">
        <f>D9</f>
        <v>7.0000000000000007E-2</v>
      </c>
      <c r="C36" s="198">
        <f t="shared" ref="C36" si="1">C35*(1+B36)</f>
        <v>1.1235000000000002</v>
      </c>
      <c r="D36" s="205">
        <v>0</v>
      </c>
      <c r="E36" s="205">
        <v>0</v>
      </c>
      <c r="F36" s="205">
        <v>0.5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199"/>
      <c r="B37" s="200"/>
      <c r="D37" s="206">
        <f>SUM(D34:D36)</f>
        <v>0.34722222222222232</v>
      </c>
      <c r="E37" s="206">
        <f>SUM(E34:E36)</f>
        <v>0.98611111111111116</v>
      </c>
      <c r="F37" s="206">
        <f>SUM(F34:F36)</f>
        <v>1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199"/>
      <c r="B38" s="20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A39" s="202" t="s">
        <v>417</v>
      </c>
      <c r="D39" s="143">
        <f>SUMPRODUCT($C$34:$C$36,D34:D36)/D37</f>
        <v>1.008</v>
      </c>
      <c r="E39" s="143">
        <f>SUMPRODUCT($C$34:$C$36,E34:E36)/E37</f>
        <v>1.03943661971831</v>
      </c>
      <c r="F39" s="143">
        <f>SUMPRODUCT($C$34:$C$36,F34:F36)/F37</f>
        <v>1.0867500000000001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20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202" t="s">
        <v>418</v>
      </c>
      <c r="D41" s="204">
        <f>$C$36/D39</f>
        <v>1.1145833333333335</v>
      </c>
      <c r="E41" s="204">
        <f>$C$36/E39</f>
        <v>1.0808739837398373</v>
      </c>
      <c r="F41" s="204">
        <f>$C$36/F39</f>
        <v>1.0338164251207731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3" spans="1:24" x14ac:dyDescent="0.25">
      <c r="A43" s="5" t="s">
        <v>5</v>
      </c>
      <c r="B43" s="4" t="s">
        <v>198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2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4" x14ac:dyDescent="0.25">
      <c r="A45" s="6" t="s">
        <v>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4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4" x14ac:dyDescent="0.25">
      <c r="A47" s="6" t="s">
        <v>420</v>
      </c>
      <c r="B47" s="6"/>
      <c r="C47" s="208">
        <v>45748</v>
      </c>
      <c r="D47" s="6"/>
    </row>
    <row r="48" spans="1:24" x14ac:dyDescent="0.25">
      <c r="A48" s="6" t="s">
        <v>423</v>
      </c>
      <c r="B48" s="6"/>
      <c r="C48" s="6"/>
      <c r="D48" s="6"/>
    </row>
    <row r="49" spans="1:24" x14ac:dyDescent="0.25">
      <c r="A49" s="6"/>
      <c r="B49" s="6"/>
      <c r="C49" s="6"/>
      <c r="D49" s="6"/>
      <c r="M49" s="276">
        <v>2022</v>
      </c>
      <c r="N49" s="276"/>
      <c r="O49" s="276"/>
      <c r="P49" s="276"/>
      <c r="Q49" s="276">
        <f>M49+1</f>
        <v>2023</v>
      </c>
      <c r="R49" s="276"/>
      <c r="S49" s="276"/>
      <c r="T49" s="276"/>
      <c r="U49" s="276">
        <f>Q49+1</f>
        <v>2024</v>
      </c>
      <c r="V49" s="276"/>
      <c r="W49" s="276"/>
      <c r="X49" s="276"/>
    </row>
    <row r="50" spans="1:24" ht="20.100000000000001" customHeight="1" x14ac:dyDescent="0.25">
      <c r="A50" s="6"/>
      <c r="B50" s="6"/>
      <c r="C50" s="6"/>
      <c r="D50" s="6"/>
      <c r="M50" s="12"/>
      <c r="N50" s="13"/>
      <c r="O50" s="13"/>
      <c r="P50" s="14"/>
      <c r="Q50" s="12"/>
      <c r="R50" s="13"/>
      <c r="S50" s="13"/>
      <c r="T50" s="14"/>
      <c r="U50" s="12"/>
      <c r="V50" s="13"/>
      <c r="W50" s="13"/>
      <c r="X50" s="14"/>
    </row>
    <row r="51" spans="1:24" ht="20.100000000000001" customHeight="1" x14ac:dyDescent="0.25">
      <c r="A51" s="6"/>
      <c r="B51" s="6"/>
      <c r="C51" s="6"/>
      <c r="D51" s="6"/>
      <c r="M51" s="15"/>
      <c r="N51" s="7"/>
      <c r="O51" s="7"/>
      <c r="P51" s="16"/>
      <c r="Q51" s="15"/>
      <c r="R51" s="7"/>
      <c r="S51" s="7"/>
      <c r="T51" s="16"/>
      <c r="U51" s="15"/>
      <c r="V51" s="7"/>
      <c r="W51" s="7"/>
      <c r="X51" s="16"/>
    </row>
    <row r="52" spans="1:24" ht="20.100000000000001" customHeight="1" x14ac:dyDescent="0.25">
      <c r="A52" s="6"/>
      <c r="B52" s="6"/>
      <c r="C52" s="6"/>
      <c r="D52" s="6"/>
      <c r="M52" s="15"/>
      <c r="N52" s="7"/>
      <c r="O52" s="7"/>
      <c r="P52" s="16"/>
      <c r="Q52" s="15"/>
      <c r="R52" s="150"/>
      <c r="S52" s="150"/>
      <c r="T52" s="16"/>
      <c r="U52" s="15"/>
      <c r="V52" s="7"/>
      <c r="W52" s="196"/>
      <c r="X52" s="16"/>
    </row>
    <row r="53" spans="1:24" ht="20.100000000000001" customHeight="1" x14ac:dyDescent="0.25">
      <c r="A53" s="6"/>
      <c r="B53" s="6"/>
      <c r="C53" s="6"/>
      <c r="D53" s="6"/>
      <c r="M53" s="17"/>
      <c r="N53" s="18"/>
      <c r="O53" s="18"/>
      <c r="P53" s="19"/>
      <c r="Q53" s="17"/>
      <c r="R53" s="18"/>
      <c r="S53" s="18"/>
      <c r="T53" s="19"/>
      <c r="U53" s="17"/>
      <c r="V53" s="18"/>
      <c r="W53" s="18"/>
      <c r="X53" s="19"/>
    </row>
    <row r="54" spans="1:24" x14ac:dyDescent="0.25">
      <c r="A54" s="6"/>
      <c r="B54" s="6"/>
      <c r="C54" s="6"/>
      <c r="D54" s="6"/>
      <c r="M54" s="7"/>
      <c r="N54" s="7"/>
      <c r="O54" s="195"/>
      <c r="P54" s="7"/>
      <c r="Q54" s="7"/>
      <c r="R54" s="7"/>
      <c r="S54" s="7"/>
      <c r="T54" s="195"/>
      <c r="U54" s="7"/>
      <c r="V54" s="7"/>
      <c r="W54" s="7"/>
      <c r="X54" s="7"/>
    </row>
    <row r="55" spans="1:24" ht="63" x14ac:dyDescent="0.25">
      <c r="A55" s="93" t="s">
        <v>69</v>
      </c>
      <c r="B55" s="93" t="s">
        <v>426</v>
      </c>
      <c r="C55" s="93" t="s">
        <v>427</v>
      </c>
      <c r="D55" s="93" t="s">
        <v>421</v>
      </c>
      <c r="E55" s="125" t="s">
        <v>381</v>
      </c>
      <c r="F55" s="125" t="s">
        <v>422</v>
      </c>
      <c r="M55" s="1" t="s">
        <v>424</v>
      </c>
    </row>
    <row r="56" spans="1:24" x14ac:dyDescent="0.25">
      <c r="A56" s="96">
        <v>2022</v>
      </c>
      <c r="B56" s="207">
        <f>DATE(2022,3+5,1)</f>
        <v>44774</v>
      </c>
      <c r="C56" s="207">
        <f>DATE(YEAR(C47),6+MONTH(C47),1)</f>
        <v>45931</v>
      </c>
      <c r="D56" s="96">
        <f>DATEDIF(B56,C56,"M")</f>
        <v>38</v>
      </c>
      <c r="E56" s="87">
        <f>D56/12</f>
        <v>3.1666666666666665</v>
      </c>
      <c r="F56" s="143">
        <f>(1+$D$17)^E56</f>
        <v>0.98425226382720954</v>
      </c>
    </row>
    <row r="57" spans="1:24" x14ac:dyDescent="0.25">
      <c r="A57" s="96">
        <v>2023</v>
      </c>
      <c r="B57" s="207">
        <f>DATE(A57,2,1)</f>
        <v>44958</v>
      </c>
      <c r="C57" s="207">
        <f>C56</f>
        <v>45931</v>
      </c>
      <c r="D57" s="96">
        <f>DATEDIF(B57,C57,"M")</f>
        <v>32</v>
      </c>
      <c r="E57" s="87">
        <f>D57/12</f>
        <v>2.6666666666666665</v>
      </c>
      <c r="F57" s="143">
        <f>(1+$D$17)^E57</f>
        <v>0.9867221604680726</v>
      </c>
    </row>
    <row r="58" spans="1:24" x14ac:dyDescent="0.25">
      <c r="M58" s="1" t="s">
        <v>425</v>
      </c>
    </row>
    <row r="59" spans="1:24" x14ac:dyDescent="0.25">
      <c r="A59" s="84"/>
      <c r="B59" s="84"/>
      <c r="C59" s="84"/>
      <c r="D59" s="84"/>
      <c r="E59" s="84"/>
    </row>
    <row r="60" spans="1:24" x14ac:dyDescent="0.25">
      <c r="A60" s="84"/>
      <c r="B60" s="84"/>
      <c r="C60" s="84"/>
      <c r="D60" s="84"/>
      <c r="E60" s="84"/>
    </row>
    <row r="61" spans="1:24" x14ac:dyDescent="0.25">
      <c r="A61" s="84"/>
    </row>
    <row r="62" spans="1:24" x14ac:dyDescent="0.25">
      <c r="A62" s="84"/>
    </row>
  </sheetData>
  <mergeCells count="12">
    <mergeCell ref="R28:S28"/>
    <mergeCell ref="M49:P49"/>
    <mergeCell ref="Q49:T49"/>
    <mergeCell ref="U49:X49"/>
    <mergeCell ref="A3:K4"/>
    <mergeCell ref="M25:P25"/>
    <mergeCell ref="Q25:T25"/>
    <mergeCell ref="U25:X25"/>
    <mergeCell ref="B8:C8"/>
    <mergeCell ref="B9:C9"/>
    <mergeCell ref="B7:C7"/>
    <mergeCell ref="B6:D6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E58E-BB94-4A1E-9C54-F65995695B48}">
  <dimension ref="A1:R116"/>
  <sheetViews>
    <sheetView zoomScale="120" zoomScaleNormal="120" workbookViewId="0"/>
  </sheetViews>
  <sheetFormatPr defaultColWidth="8.85546875" defaultRowHeight="15.75" x14ac:dyDescent="0.25"/>
  <cols>
    <col min="1" max="1" width="20.7109375" style="1" customWidth="1"/>
    <col min="2" max="10" width="15.7109375" style="1" customWidth="1"/>
    <col min="11" max="11" width="20.28515625" style="1" customWidth="1"/>
    <col min="12" max="14" width="15.7109375" style="1" customWidth="1"/>
    <col min="15" max="16" width="8.85546875" style="1"/>
    <col min="17" max="17" width="11.28515625" style="1" customWidth="1"/>
    <col min="18" max="16384" width="8.85546875" style="1"/>
  </cols>
  <sheetData>
    <row r="1" spans="1:12" ht="18.75" x14ac:dyDescent="0.3">
      <c r="A1" s="75" t="s">
        <v>199</v>
      </c>
      <c r="B1" s="8"/>
      <c r="C1" s="8" t="s">
        <v>134</v>
      </c>
      <c r="D1" s="8"/>
      <c r="E1" s="8"/>
      <c r="F1" s="8"/>
      <c r="G1" s="8"/>
      <c r="H1" s="8"/>
      <c r="I1" s="8"/>
      <c r="J1" s="8"/>
      <c r="K1" s="8"/>
      <c r="L1" s="27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7"/>
    </row>
    <row r="3" spans="1:12" x14ac:dyDescent="0.25">
      <c r="A3" s="8" t="s">
        <v>200</v>
      </c>
      <c r="B3" s="8"/>
      <c r="C3" s="8"/>
      <c r="D3" s="8"/>
      <c r="E3" s="8"/>
      <c r="F3" s="8"/>
      <c r="G3" s="8"/>
      <c r="H3" s="8"/>
      <c r="I3" s="8"/>
      <c r="J3" s="8"/>
      <c r="K3" s="8"/>
      <c r="L3" s="27"/>
    </row>
    <row r="4" spans="1:12" x14ac:dyDescent="0.25">
      <c r="A4" s="45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5"/>
      <c r="B5" s="25" t="s">
        <v>13</v>
      </c>
      <c r="C5" s="259" t="s">
        <v>15</v>
      </c>
      <c r="D5" s="260"/>
      <c r="E5" s="260"/>
      <c r="F5" s="260"/>
      <c r="G5" s="260"/>
      <c r="H5" s="8"/>
      <c r="I5" s="8"/>
      <c r="J5" s="8"/>
      <c r="K5" s="8"/>
      <c r="L5" s="8"/>
    </row>
    <row r="6" spans="1:12" x14ac:dyDescent="0.25">
      <c r="A6" s="45"/>
      <c r="B6" s="26" t="s">
        <v>14</v>
      </c>
      <c r="C6" s="23">
        <v>12</v>
      </c>
      <c r="D6" s="20">
        <v>24</v>
      </c>
      <c r="E6" s="20">
        <v>36</v>
      </c>
      <c r="F6" s="20">
        <v>48</v>
      </c>
      <c r="G6" s="20">
        <v>60</v>
      </c>
      <c r="H6" s="8"/>
      <c r="I6" s="8"/>
      <c r="J6" s="8"/>
      <c r="K6" s="8"/>
      <c r="L6" s="8"/>
    </row>
    <row r="7" spans="1:12" x14ac:dyDescent="0.25">
      <c r="A7" s="45"/>
      <c r="B7" s="24">
        <v>2019</v>
      </c>
      <c r="C7" s="22">
        <v>540061</v>
      </c>
      <c r="D7" s="22">
        <v>575731</v>
      </c>
      <c r="E7" s="22">
        <v>648087</v>
      </c>
      <c r="F7" s="22">
        <v>683622</v>
      </c>
      <c r="G7" s="22">
        <v>702734</v>
      </c>
      <c r="H7" s="8"/>
      <c r="I7" s="8"/>
      <c r="J7" s="8"/>
      <c r="K7" s="8"/>
      <c r="L7" s="8"/>
    </row>
    <row r="8" spans="1:12" x14ac:dyDescent="0.25">
      <c r="A8" s="45"/>
      <c r="B8" s="21">
        <v>2020</v>
      </c>
      <c r="C8" s="22">
        <v>554275</v>
      </c>
      <c r="D8" s="22">
        <v>591019</v>
      </c>
      <c r="E8" s="22">
        <v>665056</v>
      </c>
      <c r="F8" s="22">
        <v>701405</v>
      </c>
      <c r="G8" s="21"/>
      <c r="H8" s="8"/>
      <c r="I8" s="8"/>
      <c r="J8" s="8"/>
      <c r="K8" s="8"/>
      <c r="L8" s="8"/>
    </row>
    <row r="9" spans="1:12" x14ac:dyDescent="0.25">
      <c r="A9" s="8"/>
      <c r="B9" s="21">
        <v>2021</v>
      </c>
      <c r="C9" s="22">
        <v>567907</v>
      </c>
      <c r="D9" s="22">
        <v>656134</v>
      </c>
      <c r="E9" s="22">
        <v>731837</v>
      </c>
      <c r="F9" s="21"/>
      <c r="G9" s="21"/>
      <c r="H9" s="8"/>
      <c r="I9" s="8"/>
      <c r="J9" s="8"/>
      <c r="K9" s="8"/>
      <c r="L9" s="8"/>
    </row>
    <row r="10" spans="1:12" x14ac:dyDescent="0.25">
      <c r="A10" s="8"/>
      <c r="B10" s="21">
        <v>2022</v>
      </c>
      <c r="C10" s="22">
        <v>581936</v>
      </c>
      <c r="D10" s="22">
        <v>621002</v>
      </c>
      <c r="E10" s="21"/>
      <c r="F10" s="21"/>
      <c r="G10" s="43"/>
      <c r="H10" s="8"/>
      <c r="I10" s="8"/>
      <c r="J10" s="8"/>
      <c r="K10" s="8"/>
      <c r="L10" s="8"/>
    </row>
    <row r="11" spans="1:12" x14ac:dyDescent="0.25">
      <c r="A11" s="45"/>
      <c r="B11" s="21">
        <v>2023</v>
      </c>
      <c r="C11" s="22">
        <v>596836</v>
      </c>
      <c r="D11" s="21"/>
      <c r="E11" s="21"/>
      <c r="F11" s="43"/>
      <c r="G11" s="43"/>
      <c r="H11" s="8"/>
      <c r="I11" s="8"/>
      <c r="J11" s="8"/>
      <c r="K11" s="8"/>
      <c r="L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31.5" x14ac:dyDescent="0.25">
      <c r="A13" s="8"/>
      <c r="B13" s="20" t="s">
        <v>69</v>
      </c>
      <c r="C13" s="20" t="s">
        <v>27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5">
      <c r="A14" s="8"/>
      <c r="B14" s="21">
        <v>2019</v>
      </c>
      <c r="C14" s="22">
        <v>1000000</v>
      </c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5">
      <c r="A15" s="8"/>
      <c r="B15" s="21">
        <v>2020</v>
      </c>
      <c r="C15" s="22">
        <v>1040000</v>
      </c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8"/>
      <c r="B16" s="21">
        <v>2021</v>
      </c>
      <c r="C16" s="22">
        <v>1082000</v>
      </c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8"/>
      <c r="B17" s="21">
        <v>2022</v>
      </c>
      <c r="C17" s="22">
        <v>1125000</v>
      </c>
      <c r="D17" s="8"/>
      <c r="E17" s="8"/>
      <c r="F17" s="8"/>
      <c r="G17" s="8"/>
      <c r="H17" s="8"/>
      <c r="I17" s="8"/>
      <c r="J17" s="8"/>
      <c r="K17" s="8"/>
      <c r="L17" s="8"/>
    </row>
    <row r="18" spans="1:18" x14ac:dyDescent="0.25">
      <c r="A18" s="8"/>
      <c r="B18" s="21">
        <v>2023</v>
      </c>
      <c r="C18" s="22">
        <v>1170000</v>
      </c>
      <c r="D18" s="8"/>
      <c r="E18" s="8"/>
      <c r="F18" s="8"/>
      <c r="G18" s="8"/>
      <c r="H18" s="8"/>
      <c r="I18" s="8"/>
      <c r="J18" s="8"/>
      <c r="K18" s="8"/>
      <c r="L18" s="8"/>
    </row>
    <row r="19" spans="1:18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8" x14ac:dyDescent="0.25">
      <c r="A20" s="8"/>
      <c r="B20" s="35" t="s">
        <v>201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8" x14ac:dyDescent="0.25">
      <c r="A21" s="8"/>
      <c r="B21" s="35" t="s">
        <v>202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8" x14ac:dyDescent="0.25">
      <c r="A22" s="8"/>
      <c r="B22" s="35" t="s">
        <v>32</v>
      </c>
      <c r="C22" s="8"/>
      <c r="D22" s="8"/>
      <c r="E22" s="36">
        <v>-0.02</v>
      </c>
      <c r="F22" s="8"/>
      <c r="G22" s="8"/>
      <c r="H22" s="8"/>
      <c r="I22" s="8"/>
      <c r="J22" s="8"/>
      <c r="K22" s="8"/>
      <c r="L22" s="8"/>
    </row>
    <row r="23" spans="1:18" ht="15.6" customHeight="1" x14ac:dyDescent="0.25">
      <c r="A23" s="8"/>
      <c r="B23" s="35" t="s">
        <v>205</v>
      </c>
      <c r="C23" s="76"/>
      <c r="D23" s="77">
        <v>50000</v>
      </c>
      <c r="E23" s="38" t="s">
        <v>206</v>
      </c>
      <c r="F23" s="76"/>
      <c r="G23" s="76"/>
      <c r="H23" s="76"/>
      <c r="I23" s="76"/>
      <c r="J23" s="76"/>
      <c r="K23" s="76"/>
      <c r="L23" s="8"/>
    </row>
    <row r="24" spans="1:18" x14ac:dyDescent="0.25">
      <c r="A24" s="8"/>
      <c r="B24" s="38" t="s">
        <v>207</v>
      </c>
      <c r="C24" s="76"/>
      <c r="D24" s="76"/>
      <c r="E24" s="76"/>
      <c r="F24" s="76"/>
      <c r="G24" s="76"/>
      <c r="H24" s="76"/>
      <c r="I24" s="76"/>
      <c r="J24" s="76"/>
      <c r="K24" s="76"/>
      <c r="L24" s="8"/>
    </row>
    <row r="25" spans="1:18" x14ac:dyDescent="0.25">
      <c r="A25" s="8"/>
      <c r="B25" s="35" t="s">
        <v>203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8" x14ac:dyDescent="0.25">
      <c r="A26" s="8"/>
      <c r="B26" s="280" t="s">
        <v>204</v>
      </c>
      <c r="C26" s="280"/>
      <c r="D26" s="280"/>
      <c r="E26" s="280"/>
      <c r="F26" s="280"/>
      <c r="G26" s="280"/>
      <c r="H26" s="280"/>
      <c r="I26" s="280"/>
      <c r="J26" s="280"/>
      <c r="K26" s="280"/>
      <c r="L26" s="8"/>
    </row>
    <row r="27" spans="1:18" x14ac:dyDescent="0.25">
      <c r="A27" s="8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8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8" x14ac:dyDescent="0.25">
      <c r="A29" s="5" t="s">
        <v>4</v>
      </c>
      <c r="B29" s="8" t="s">
        <v>208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7"/>
      <c r="N29" s="7"/>
      <c r="O29" s="7"/>
      <c r="P29" s="7"/>
      <c r="Q29" s="7"/>
      <c r="R29" s="7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8" x14ac:dyDescent="0.25">
      <c r="A31" s="6" t="s">
        <v>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8" x14ac:dyDescent="0.25">
      <c r="A32" s="238" t="s">
        <v>13</v>
      </c>
      <c r="B32" s="281" t="s">
        <v>428</v>
      </c>
      <c r="C32" s="281"/>
      <c r="D32" s="281"/>
      <c r="E32" s="281"/>
      <c r="F32" s="281"/>
      <c r="H32" s="6"/>
      <c r="I32" s="6"/>
      <c r="J32" s="6"/>
      <c r="K32" s="6"/>
      <c r="L32" s="6"/>
      <c r="M32" s="6"/>
      <c r="N32" s="7"/>
    </row>
    <row r="33" spans="1:14" x14ac:dyDescent="0.25">
      <c r="A33" s="242" t="s">
        <v>459</v>
      </c>
      <c r="B33" s="242">
        <v>12</v>
      </c>
      <c r="C33" s="242">
        <v>24</v>
      </c>
      <c r="D33" s="242">
        <v>36</v>
      </c>
      <c r="E33" s="242">
        <v>48</v>
      </c>
      <c r="F33" s="242">
        <v>60</v>
      </c>
      <c r="H33" s="6"/>
      <c r="I33" s="6"/>
      <c r="J33" s="6"/>
      <c r="K33" s="6"/>
      <c r="L33" s="6"/>
      <c r="M33" s="6"/>
      <c r="N33" s="7"/>
    </row>
    <row r="34" spans="1:14" x14ac:dyDescent="0.25">
      <c r="A34" s="238">
        <v>2019</v>
      </c>
      <c r="B34" s="239">
        <f>C7</f>
        <v>540061</v>
      </c>
      <c r="C34" s="239">
        <f>D7</f>
        <v>575731</v>
      </c>
      <c r="D34" s="239">
        <f>E7</f>
        <v>648087</v>
      </c>
      <c r="E34" s="239">
        <f>F7</f>
        <v>683622</v>
      </c>
      <c r="F34" s="239">
        <f>G7</f>
        <v>702734</v>
      </c>
      <c r="H34" s="6"/>
      <c r="I34" s="6"/>
      <c r="J34" s="6"/>
      <c r="K34" s="6"/>
    </row>
    <row r="35" spans="1:14" x14ac:dyDescent="0.25">
      <c r="A35" s="238">
        <v>2020</v>
      </c>
      <c r="B35" s="239">
        <f>C8</f>
        <v>554275</v>
      </c>
      <c r="C35" s="239">
        <f>D8</f>
        <v>591019</v>
      </c>
      <c r="D35" s="239">
        <f>E8</f>
        <v>665056</v>
      </c>
      <c r="E35" s="239">
        <f>F8</f>
        <v>701405</v>
      </c>
      <c r="F35" s="238"/>
      <c r="H35" s="6"/>
      <c r="I35" s="6"/>
      <c r="J35" s="6"/>
      <c r="K35" s="6"/>
    </row>
    <row r="36" spans="1:14" x14ac:dyDescent="0.25">
      <c r="A36" s="238">
        <v>2021</v>
      </c>
      <c r="B36" s="239">
        <f>C9</f>
        <v>567907</v>
      </c>
      <c r="C36" s="240">
        <f>D9-$D$23</f>
        <v>606134</v>
      </c>
      <c r="D36" s="240">
        <f>E9-$D$23</f>
        <v>681837</v>
      </c>
      <c r="E36" s="238"/>
      <c r="F36" s="238"/>
      <c r="H36" s="6"/>
      <c r="I36" s="6"/>
      <c r="J36" s="6"/>
      <c r="K36" s="6"/>
    </row>
    <row r="37" spans="1:14" x14ac:dyDescent="0.25">
      <c r="A37" s="238">
        <v>2022</v>
      </c>
      <c r="B37" s="239">
        <f>C10</f>
        <v>581936</v>
      </c>
      <c r="C37" s="239">
        <f>D10</f>
        <v>621002</v>
      </c>
      <c r="D37" s="238"/>
      <c r="E37" s="238"/>
      <c r="F37" s="241"/>
      <c r="H37" s="6"/>
      <c r="I37" s="6"/>
      <c r="J37" s="6"/>
      <c r="K37" s="6"/>
    </row>
    <row r="38" spans="1:14" x14ac:dyDescent="0.25">
      <c r="A38" s="238">
        <v>2023</v>
      </c>
      <c r="B38" s="239">
        <f>C11</f>
        <v>596836</v>
      </c>
      <c r="C38" s="238"/>
      <c r="D38" s="238"/>
      <c r="E38" s="241"/>
      <c r="F38" s="241"/>
      <c r="H38" s="6"/>
      <c r="I38" s="6"/>
      <c r="J38" s="6"/>
      <c r="K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4" x14ac:dyDescent="0.25">
      <c r="A40" s="264" t="s">
        <v>429</v>
      </c>
      <c r="B40" s="264"/>
      <c r="C40" s="264"/>
      <c r="D40" s="264"/>
      <c r="E40" s="264"/>
      <c r="F40" s="264"/>
      <c r="G40" s="6"/>
      <c r="H40" s="6"/>
      <c r="I40" s="6"/>
      <c r="J40" s="6"/>
      <c r="K40" s="6"/>
    </row>
    <row r="41" spans="1:14" x14ac:dyDescent="0.25">
      <c r="A41" s="85" t="s">
        <v>242</v>
      </c>
      <c r="B41" s="85" t="s">
        <v>398</v>
      </c>
      <c r="C41" s="85" t="s">
        <v>399</v>
      </c>
      <c r="D41" s="85" t="s">
        <v>400</v>
      </c>
      <c r="E41" s="85" t="s">
        <v>401</v>
      </c>
      <c r="F41" s="187" t="s">
        <v>461</v>
      </c>
      <c r="G41" s="6"/>
      <c r="H41" s="6"/>
      <c r="I41" s="6"/>
      <c r="J41" s="6"/>
      <c r="K41" s="6"/>
      <c r="L41" s="6"/>
      <c r="M41" s="6"/>
      <c r="N41" s="7"/>
    </row>
    <row r="42" spans="1:14" x14ac:dyDescent="0.25">
      <c r="A42" s="212">
        <f>A34</f>
        <v>2019</v>
      </c>
      <c r="B42" s="213">
        <f>IF(B34=0,"",C34/B34)</f>
        <v>1.0660480945670952</v>
      </c>
      <c r="C42" s="213">
        <f>IF(C34=0,"",D34/C34)</f>
        <v>1.1256767483425418</v>
      </c>
      <c r="D42" s="213">
        <f>IF(D34=0,"",E34/D34)</f>
        <v>1.0548306014470279</v>
      </c>
      <c r="E42" s="213">
        <f>IF(E34=0,"",F34/E34)</f>
        <v>1.0279569703725158</v>
      </c>
      <c r="F42" s="96"/>
      <c r="G42" s="6"/>
      <c r="H42" s="6"/>
      <c r="I42" s="6"/>
      <c r="J42" s="6"/>
      <c r="K42" s="6"/>
      <c r="L42" s="6"/>
      <c r="M42" s="6"/>
      <c r="N42" s="7"/>
    </row>
    <row r="43" spans="1:14" x14ac:dyDescent="0.25">
      <c r="A43" s="212">
        <f t="shared" ref="A43:A45" si="0">A35</f>
        <v>2020</v>
      </c>
      <c r="B43" s="213">
        <f>IF(B35=0,"",C35/B35)</f>
        <v>1.0662920030670695</v>
      </c>
      <c r="C43" s="213">
        <f>IF(C35=0,"",D35/C35)</f>
        <v>1.1252700843796899</v>
      </c>
      <c r="D43" s="213">
        <f>IF(D35=0,"",E35/D35)</f>
        <v>1.0546555478034931</v>
      </c>
      <c r="E43" s="213"/>
      <c r="F43" s="96"/>
      <c r="G43" s="6"/>
      <c r="H43" s="6"/>
      <c r="I43" s="6"/>
      <c r="J43" s="6"/>
      <c r="K43" s="6"/>
      <c r="L43" s="6"/>
      <c r="M43" s="6"/>
      <c r="N43" s="7"/>
    </row>
    <row r="44" spans="1:14" x14ac:dyDescent="0.25">
      <c r="A44" s="212">
        <f t="shared" si="0"/>
        <v>2021</v>
      </c>
      <c r="B44" s="213">
        <f>IF(B36=0,"",C36/B36)</f>
        <v>1.0673120775056479</v>
      </c>
      <c r="C44" s="213">
        <f>IF(C36=0,"",D36/C36)</f>
        <v>1.1248948252366637</v>
      </c>
      <c r="D44" s="213"/>
      <c r="E44" s="213" t="str">
        <f>IF(E36=0,"",F36/E36)</f>
        <v/>
      </c>
      <c r="F44" s="96"/>
      <c r="G44" s="6"/>
      <c r="H44" s="6"/>
      <c r="I44" s="6"/>
      <c r="J44" s="6"/>
      <c r="K44" s="6"/>
      <c r="L44" s="6"/>
      <c r="M44" s="6"/>
      <c r="N44" s="7"/>
    </row>
    <row r="45" spans="1:14" x14ac:dyDescent="0.25">
      <c r="A45" s="218">
        <f t="shared" si="0"/>
        <v>2022</v>
      </c>
      <c r="B45" s="215">
        <f>IF(B37=0,"",C37/B37)</f>
        <v>1.0671310934535756</v>
      </c>
      <c r="C45" s="215"/>
      <c r="D45" s="215" t="str">
        <f>IF(D37=0,"",E37/D37)</f>
        <v/>
      </c>
      <c r="E45" s="215" t="str">
        <f>IF(E37=0,"",F37/E37)</f>
        <v/>
      </c>
      <c r="F45" s="85"/>
      <c r="G45" s="6"/>
      <c r="H45" s="6"/>
      <c r="I45" s="6"/>
      <c r="J45" s="6"/>
      <c r="K45" s="6"/>
      <c r="L45" s="6"/>
      <c r="M45" s="6"/>
      <c r="N45" s="7"/>
    </row>
    <row r="46" spans="1:14" x14ac:dyDescent="0.25">
      <c r="A46" s="213" t="s">
        <v>434</v>
      </c>
      <c r="B46" s="213">
        <f>AVERAGE(B42:B45)</f>
        <v>1.0666958171483472</v>
      </c>
      <c r="C46" s="213">
        <f>AVERAGE(C42:C45)</f>
        <v>1.125280552652965</v>
      </c>
      <c r="D46" s="213">
        <f>AVERAGE(D42:D45)</f>
        <v>1.0547430746252604</v>
      </c>
      <c r="E46" s="213">
        <f>AVERAGE(E42:E45)</f>
        <v>1.0279569703725158</v>
      </c>
      <c r="F46" s="96"/>
      <c r="G46" s="6"/>
      <c r="H46" s="6"/>
      <c r="I46" s="6"/>
      <c r="J46" s="6"/>
      <c r="K46" s="6"/>
      <c r="L46" s="6"/>
      <c r="M46" s="6"/>
      <c r="N46" s="7"/>
    </row>
    <row r="47" spans="1:14" x14ac:dyDescent="0.25">
      <c r="A47" s="213" t="s">
        <v>433</v>
      </c>
      <c r="B47" s="213">
        <f>SUM(C34:C37)/SUM(B34:B37)</f>
        <v>1.0667090281122851</v>
      </c>
      <c r="C47" s="213">
        <f>SUM(D34:D36)/SUM(C34:C36)</f>
        <v>1.1252738475839368</v>
      </c>
      <c r="D47" s="213">
        <f>SUM(E34:E35)/SUM(D34:D35)</f>
        <v>1.0547419435659331</v>
      </c>
      <c r="E47" s="213">
        <f>SUM(F34:F34)/SUM(E34:E34)</f>
        <v>1.0279569703725158</v>
      </c>
      <c r="F47" s="96"/>
      <c r="G47" s="6"/>
      <c r="H47" s="6"/>
      <c r="I47" s="6"/>
      <c r="J47" s="6"/>
      <c r="K47" s="6"/>
      <c r="L47" s="6"/>
      <c r="M47" s="6"/>
      <c r="N47" s="7"/>
    </row>
    <row r="48" spans="1:14" x14ac:dyDescent="0.25">
      <c r="A48" s="96" t="s">
        <v>432</v>
      </c>
      <c r="B48" s="213">
        <f t="shared" ref="B48:E48" si="1">B47</f>
        <v>1.0667090281122851</v>
      </c>
      <c r="C48" s="213">
        <f t="shared" si="1"/>
        <v>1.1252738475839368</v>
      </c>
      <c r="D48" s="213">
        <f t="shared" si="1"/>
        <v>1.0547419435659331</v>
      </c>
      <c r="E48" s="213">
        <f t="shared" si="1"/>
        <v>1.0279569703725158</v>
      </c>
      <c r="F48" s="214">
        <f>E48</f>
        <v>1.0279569703725158</v>
      </c>
      <c r="G48" s="6"/>
      <c r="H48" s="6"/>
      <c r="I48" s="6"/>
      <c r="J48" s="6"/>
      <c r="K48" s="6"/>
      <c r="L48" s="6"/>
      <c r="M48" s="6"/>
      <c r="N48" s="7"/>
    </row>
    <row r="49" spans="1:14" x14ac:dyDescent="0.25">
      <c r="A49" s="96" t="s">
        <v>460</v>
      </c>
      <c r="B49" s="213">
        <f>PRODUCT(B48:$F48)</f>
        <v>1.3378280104128151</v>
      </c>
      <c r="C49" s="213">
        <f>PRODUCT(C48:$F48)</f>
        <v>1.2541639520763399</v>
      </c>
      <c r="D49" s="213">
        <f>PRODUCT(D48:$F48)</f>
        <v>1.1145411001678762</v>
      </c>
      <c r="E49" s="213">
        <f>PRODUCT(E48:$F48)</f>
        <v>1.0566955329374412</v>
      </c>
      <c r="F49" s="214">
        <f>F48</f>
        <v>1.0279569703725158</v>
      </c>
      <c r="G49" s="6"/>
      <c r="H49" s="6"/>
      <c r="I49" s="6"/>
      <c r="J49" s="6"/>
      <c r="K49" s="6"/>
      <c r="L49" s="6"/>
      <c r="M49" s="6"/>
      <c r="N49" s="7"/>
    </row>
    <row r="50" spans="1:14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spans="1:14" ht="47.25" x14ac:dyDescent="0.25">
      <c r="A51" s="85" t="s">
        <v>242</v>
      </c>
      <c r="B51" s="125" t="s">
        <v>430</v>
      </c>
      <c r="C51" s="125" t="s">
        <v>431</v>
      </c>
      <c r="D51" s="125" t="s">
        <v>435</v>
      </c>
      <c r="E51" s="125" t="s">
        <v>436</v>
      </c>
      <c r="F51" s="6"/>
      <c r="G51" s="6"/>
      <c r="H51" s="6"/>
      <c r="I51" s="6"/>
      <c r="J51" s="6"/>
      <c r="K51" s="6"/>
      <c r="L51" s="6"/>
      <c r="M51" s="6"/>
      <c r="N51" s="7"/>
    </row>
    <row r="52" spans="1:14" x14ac:dyDescent="0.25">
      <c r="A52" s="212">
        <f>A34</f>
        <v>2019</v>
      </c>
      <c r="B52" s="91">
        <f ca="1">OFFSET($F$34,(A52-$A$52),($A$52-A52),1,1)</f>
        <v>702734</v>
      </c>
      <c r="C52" s="217">
        <f>F49</f>
        <v>1.0279569703725158</v>
      </c>
      <c r="D52" s="91">
        <f ca="1">B52*C52</f>
        <v>722380.3136177595</v>
      </c>
      <c r="E52" s="91">
        <f ca="1">D52</f>
        <v>722380.3136177595</v>
      </c>
      <c r="F52" s="6"/>
      <c r="G52" s="6"/>
      <c r="H52" s="6"/>
      <c r="I52" s="6"/>
      <c r="J52" s="6"/>
      <c r="K52" s="6"/>
      <c r="L52" s="6"/>
      <c r="M52" s="6"/>
      <c r="N52" s="7"/>
    </row>
    <row r="53" spans="1:14" x14ac:dyDescent="0.25">
      <c r="A53" s="212">
        <f>A35</f>
        <v>2020</v>
      </c>
      <c r="B53" s="91">
        <f ca="1">OFFSET($F$34,(A53-$A$52),($A$52-A53),1,1)</f>
        <v>701405</v>
      </c>
      <c r="C53" s="217">
        <f>E49</f>
        <v>1.0566955329374412</v>
      </c>
      <c r="D53" s="91">
        <f ca="1">B53*C53</f>
        <v>741171.53027998598</v>
      </c>
      <c r="E53" s="91">
        <f t="shared" ref="E53:E56" ca="1" si="2">D53</f>
        <v>741171.53027998598</v>
      </c>
      <c r="F53" s="6"/>
      <c r="G53" s="6"/>
      <c r="H53" s="6"/>
      <c r="I53" s="6"/>
      <c r="J53" s="6"/>
      <c r="K53" s="6"/>
      <c r="L53" s="6"/>
      <c r="M53" s="6"/>
      <c r="N53" s="7"/>
    </row>
    <row r="54" spans="1:14" x14ac:dyDescent="0.25">
      <c r="A54" s="212">
        <f>A36</f>
        <v>2021</v>
      </c>
      <c r="B54" s="91">
        <f ca="1">OFFSET($F$34,(A54-$A$52),($A$52-A54),1,1)</f>
        <v>681837</v>
      </c>
      <c r="C54" s="217">
        <f>D49</f>
        <v>1.1145411001678762</v>
      </c>
      <c r="D54" s="91">
        <f ca="1">B54*C54</f>
        <v>759935.36011516419</v>
      </c>
      <c r="E54" s="237">
        <f ca="1">D23+D54</f>
        <v>809935.36011516419</v>
      </c>
      <c r="F54" s="6"/>
      <c r="G54" s="6"/>
      <c r="H54" s="6"/>
      <c r="I54" s="6"/>
      <c r="J54" s="6"/>
      <c r="K54" s="6"/>
      <c r="L54" s="6"/>
      <c r="M54" s="6"/>
      <c r="N54" s="7"/>
    </row>
    <row r="55" spans="1:14" x14ac:dyDescent="0.25">
      <c r="A55" s="212">
        <f>A37</f>
        <v>2022</v>
      </c>
      <c r="B55" s="91">
        <f ca="1">OFFSET($F$34,(A55-$A$52),($A$52-A55),1,1)</f>
        <v>621002</v>
      </c>
      <c r="C55" s="217">
        <f>C49</f>
        <v>1.2541639520763399</v>
      </c>
      <c r="D55" s="91">
        <f ca="1">B55*C55</f>
        <v>778838.32256731123</v>
      </c>
      <c r="E55" s="91">
        <f t="shared" ca="1" si="2"/>
        <v>778838.32256731123</v>
      </c>
      <c r="F55" s="6"/>
      <c r="G55" s="6"/>
      <c r="H55" s="6"/>
      <c r="I55" s="6"/>
      <c r="J55" s="6"/>
      <c r="K55" s="6"/>
      <c r="L55" s="6"/>
      <c r="M55" s="6"/>
      <c r="N55" s="7"/>
    </row>
    <row r="56" spans="1:14" x14ac:dyDescent="0.25">
      <c r="A56" s="218">
        <f>A38</f>
        <v>2023</v>
      </c>
      <c r="B56" s="220">
        <f ca="1">OFFSET($F$34,(A56-$A$52),($A$52-A56),1,1)</f>
        <v>596836</v>
      </c>
      <c r="C56" s="219">
        <f>B49</f>
        <v>1.3378280104128151</v>
      </c>
      <c r="D56" s="220">
        <f ca="1">B56*C56</f>
        <v>798463.91842274286</v>
      </c>
      <c r="E56" s="220">
        <f t="shared" ca="1" si="2"/>
        <v>798463.91842274286</v>
      </c>
      <c r="F56" s="6"/>
      <c r="G56" s="6"/>
      <c r="H56" s="6"/>
      <c r="I56" s="6"/>
      <c r="J56" s="6"/>
      <c r="K56" s="6"/>
      <c r="L56" s="6"/>
      <c r="M56" s="6"/>
      <c r="N56" s="7"/>
    </row>
    <row r="57" spans="1:14" x14ac:dyDescent="0.25">
      <c r="A57" s="96" t="s">
        <v>31</v>
      </c>
      <c r="B57" s="91">
        <f ca="1">SUM(B52:B56)</f>
        <v>3303814</v>
      </c>
      <c r="C57" s="216"/>
      <c r="D57" s="91">
        <f t="shared" ref="D57:E57" ca="1" si="3">SUM(D52:D56)</f>
        <v>3800789.4450029638</v>
      </c>
      <c r="E57" s="91">
        <f t="shared" ca="1" si="3"/>
        <v>3850789.4450029638</v>
      </c>
      <c r="F57" s="6"/>
      <c r="G57" s="6"/>
      <c r="H57" s="6"/>
      <c r="I57" s="6"/>
      <c r="J57" s="6"/>
      <c r="K57" s="6"/>
      <c r="L57" s="6"/>
      <c r="M57" s="6"/>
      <c r="N57" s="7"/>
    </row>
    <row r="59" spans="1:14" x14ac:dyDescent="0.25">
      <c r="A59" s="5" t="s">
        <v>5</v>
      </c>
      <c r="B59" s="8" t="s">
        <v>209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4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4" x14ac:dyDescent="0.25">
      <c r="A61" s="6" t="s">
        <v>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4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4" x14ac:dyDescent="0.25">
      <c r="A63" s="6" t="s">
        <v>437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5" spans="1:12" x14ac:dyDescent="0.25">
      <c r="A65" s="5" t="s">
        <v>0</v>
      </c>
      <c r="B65" s="8" t="s">
        <v>210</v>
      </c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5">
      <c r="A67" s="6" t="s">
        <v>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5">
      <c r="A69" s="254" t="s">
        <v>483</v>
      </c>
      <c r="B69" s="255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253" t="s">
        <v>487</v>
      </c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31.5" x14ac:dyDescent="0.25">
      <c r="A72" s="85" t="s">
        <v>242</v>
      </c>
      <c r="B72" s="125" t="s">
        <v>440</v>
      </c>
      <c r="C72" s="125" t="s">
        <v>15</v>
      </c>
      <c r="D72" s="125" t="s">
        <v>27</v>
      </c>
      <c r="E72" s="125" t="s">
        <v>438</v>
      </c>
      <c r="F72" s="125" t="s">
        <v>439</v>
      </c>
      <c r="H72" s="6"/>
      <c r="I72" s="6"/>
      <c r="J72" s="6"/>
      <c r="K72" s="6"/>
      <c r="L72" s="6"/>
    </row>
    <row r="73" spans="1:12" x14ac:dyDescent="0.25">
      <c r="A73" s="221">
        <f>B7</f>
        <v>2019</v>
      </c>
      <c r="B73" s="222">
        <f>1-1/C52</f>
        <v>2.7196634857570512E-2</v>
      </c>
      <c r="C73" s="91">
        <f ca="1">OFFSET($G$7,(A73-$A$73),($A$73-A73),1,1)</f>
        <v>702734</v>
      </c>
      <c r="D73" s="91">
        <f>C14</f>
        <v>1000000</v>
      </c>
      <c r="E73" s="223">
        <v>0.65</v>
      </c>
      <c r="F73" s="91">
        <f ca="1">C73+(B73*D73*E73)</f>
        <v>720411.81265742087</v>
      </c>
      <c r="H73" s="6"/>
      <c r="I73" s="6"/>
      <c r="J73" s="6"/>
      <c r="K73" s="6"/>
      <c r="L73" s="6"/>
    </row>
    <row r="74" spans="1:12" x14ac:dyDescent="0.25">
      <c r="A74" s="221">
        <f>B8</f>
        <v>2020</v>
      </c>
      <c r="B74" s="222">
        <f>1-1/C53</f>
        <v>5.3653612767564973E-2</v>
      </c>
      <c r="C74" s="91">
        <f ca="1">OFFSET($G$7,(A74-$A$73),($A$73-A74),1,1)</f>
        <v>701405</v>
      </c>
      <c r="D74" s="91">
        <f>C15</f>
        <v>1040000</v>
      </c>
      <c r="E74" s="223">
        <v>0.65</v>
      </c>
      <c r="F74" s="91">
        <f t="shared" ref="F74:F77" ca="1" si="4">C74+(B74*D74*E74)</f>
        <v>737674.84223087388</v>
      </c>
      <c r="H74" s="6"/>
      <c r="I74" s="6"/>
      <c r="J74" s="6"/>
      <c r="K74" s="6"/>
      <c r="L74" s="6"/>
    </row>
    <row r="75" spans="1:12" x14ac:dyDescent="0.25">
      <c r="A75" s="221">
        <f>B9</f>
        <v>2021</v>
      </c>
      <c r="B75" s="222">
        <f>1-1/C54</f>
        <v>0.10276974097287539</v>
      </c>
      <c r="C75" s="91">
        <f ca="1">OFFSET($G$7,(A75-$A$73),($A$73-A75),1,1)</f>
        <v>731837</v>
      </c>
      <c r="D75" s="91">
        <f>C16</f>
        <v>1082000</v>
      </c>
      <c r="E75" s="223">
        <v>0.65</v>
      </c>
      <c r="F75" s="91">
        <f t="shared" ca="1" si="4"/>
        <v>804114.95882622327</v>
      </c>
      <c r="H75" s="6"/>
      <c r="I75" s="6"/>
      <c r="J75" s="6"/>
      <c r="K75" s="6"/>
      <c r="L75" s="6"/>
    </row>
    <row r="76" spans="1:12" x14ac:dyDescent="0.25">
      <c r="A76" s="221">
        <f>B10</f>
        <v>2022</v>
      </c>
      <c r="B76" s="222">
        <f>1-1/C55</f>
        <v>0.20265608149202263</v>
      </c>
      <c r="C76" s="91">
        <f ca="1">OFFSET($G$7,(A76-$A$73),($A$73-A76),1,1)</f>
        <v>621002</v>
      </c>
      <c r="D76" s="91">
        <f>C17</f>
        <v>1125000</v>
      </c>
      <c r="E76" s="223">
        <v>0.65</v>
      </c>
      <c r="F76" s="91">
        <f t="shared" ca="1" si="4"/>
        <v>769194.2595910416</v>
      </c>
      <c r="H76" s="6"/>
      <c r="I76" s="6"/>
      <c r="J76" s="6"/>
      <c r="K76" s="6"/>
      <c r="L76" s="6"/>
    </row>
    <row r="77" spans="1:12" x14ac:dyDescent="0.25">
      <c r="A77" s="224">
        <f>B11</f>
        <v>2023</v>
      </c>
      <c r="B77" s="225">
        <f>1-1/C56</f>
        <v>0.2525197617207694</v>
      </c>
      <c r="C77" s="220">
        <f ca="1">OFFSET($G$7,(A77-$A$73),($A$73-A77),1,1)</f>
        <v>596836</v>
      </c>
      <c r="D77" s="220">
        <f>C18</f>
        <v>1170000</v>
      </c>
      <c r="E77" s="226">
        <v>0.65</v>
      </c>
      <c r="F77" s="220">
        <f t="shared" ca="1" si="4"/>
        <v>788877.27878864517</v>
      </c>
      <c r="H77" s="6"/>
      <c r="I77" s="6"/>
      <c r="J77" s="6"/>
      <c r="K77" s="6"/>
      <c r="L77" s="6"/>
    </row>
    <row r="78" spans="1:12" x14ac:dyDescent="0.25">
      <c r="A78" s="221" t="s">
        <v>31</v>
      </c>
      <c r="B78" s="96"/>
      <c r="C78" s="91">
        <f ca="1">SUM(C73:C77)</f>
        <v>3353814</v>
      </c>
      <c r="D78" s="91">
        <f>SUM(D73:D77)</f>
        <v>5417000</v>
      </c>
      <c r="E78" s="91"/>
      <c r="F78" s="91">
        <f ca="1">SUM(F73:F77)</f>
        <v>3820273.1520942049</v>
      </c>
    </row>
    <row r="80" spans="1:12" x14ac:dyDescent="0.25">
      <c r="A80" s="5" t="s">
        <v>2</v>
      </c>
      <c r="B80" s="8" t="s">
        <v>211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6" t="s">
        <v>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1" t="s">
        <v>462</v>
      </c>
    </row>
    <row r="85" spans="1:12" x14ac:dyDescent="0.25">
      <c r="A85" s="1" t="s">
        <v>463</v>
      </c>
    </row>
    <row r="87" spans="1:12" x14ac:dyDescent="0.25">
      <c r="A87" s="5" t="s">
        <v>3</v>
      </c>
      <c r="B87" s="8" t="s">
        <v>212</v>
      </c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 t="s">
        <v>1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5">
      <c r="A90"/>
      <c r="B90"/>
      <c r="C90" s="96" t="s">
        <v>411</v>
      </c>
      <c r="D90" s="264" t="s">
        <v>412</v>
      </c>
      <c r="E90" s="264"/>
      <c r="F90" s="264"/>
      <c r="G90" s="264"/>
      <c r="H90" s="264"/>
      <c r="I90" s="6"/>
      <c r="J90" s="6"/>
      <c r="K90" s="6"/>
      <c r="L90" s="6"/>
    </row>
    <row r="91" spans="1:12" x14ac:dyDescent="0.25">
      <c r="A91"/>
      <c r="B91"/>
      <c r="C91" s="85" t="s">
        <v>415</v>
      </c>
      <c r="D91" s="85">
        <v>2019</v>
      </c>
      <c r="E91" s="85">
        <f>D91+1</f>
        <v>2020</v>
      </c>
      <c r="F91" s="85">
        <f t="shared" ref="F91:H91" si="5">E91+1</f>
        <v>2021</v>
      </c>
      <c r="G91" s="85">
        <f t="shared" si="5"/>
        <v>2022</v>
      </c>
      <c r="H91" s="85">
        <f t="shared" si="5"/>
        <v>2023</v>
      </c>
      <c r="I91" s="6"/>
      <c r="J91" s="6"/>
      <c r="K91" s="6"/>
      <c r="L91" s="6"/>
    </row>
    <row r="92" spans="1:12" x14ac:dyDescent="0.25">
      <c r="A92"/>
      <c r="B92"/>
      <c r="C92" s="143">
        <v>1</v>
      </c>
      <c r="D92" s="206">
        <v>1</v>
      </c>
      <c r="E92" s="206">
        <v>1</v>
      </c>
      <c r="F92" s="206">
        <v>1</v>
      </c>
      <c r="G92" s="206">
        <v>0.5</v>
      </c>
      <c r="H92" s="206">
        <v>0</v>
      </c>
      <c r="I92" s="6"/>
      <c r="J92" s="6"/>
      <c r="K92" s="6"/>
      <c r="L92" s="6"/>
    </row>
    <row r="93" spans="1:12" x14ac:dyDescent="0.25">
      <c r="A93"/>
      <c r="B93"/>
      <c r="C93" s="198">
        <f>1-0.05</f>
        <v>0.95</v>
      </c>
      <c r="D93" s="205">
        <v>0</v>
      </c>
      <c r="E93" s="205">
        <f>1-SUM(E92:E92)</f>
        <v>0</v>
      </c>
      <c r="F93" s="205">
        <v>0</v>
      </c>
      <c r="G93" s="205">
        <v>0.5</v>
      </c>
      <c r="H93" s="205">
        <v>1</v>
      </c>
      <c r="I93" s="6"/>
      <c r="J93" s="6"/>
      <c r="K93" s="6"/>
      <c r="L93" s="6"/>
    </row>
    <row r="94" spans="1:12" x14ac:dyDescent="0.25">
      <c r="A94" s="199"/>
      <c r="B94" s="200"/>
      <c r="C94" s="96" t="s">
        <v>31</v>
      </c>
      <c r="D94" s="206">
        <f>SUM(D92:D93)</f>
        <v>1</v>
      </c>
      <c r="E94" s="206">
        <f>SUM(E92:E93)</f>
        <v>1</v>
      </c>
      <c r="F94" s="206">
        <f>SUM(F92:F93)</f>
        <v>1</v>
      </c>
      <c r="G94" s="206">
        <f>SUM(G92:G93)</f>
        <v>1</v>
      </c>
      <c r="H94" s="206">
        <f>SUM(H92:H93)</f>
        <v>1</v>
      </c>
      <c r="I94" s="6"/>
      <c r="J94" s="6"/>
      <c r="K94" s="6"/>
      <c r="L94" s="6"/>
    </row>
    <row r="95" spans="1:12" x14ac:dyDescent="0.25">
      <c r="A95" s="202" t="s">
        <v>457</v>
      </c>
      <c r="D95" s="204">
        <f>SUMPRODUCT($C$92:$C$93,D92:D93)</f>
        <v>1</v>
      </c>
      <c r="E95" s="204">
        <f>SUMPRODUCT($C$92:$C$93,E92:E93)</f>
        <v>1</v>
      </c>
      <c r="F95" s="204">
        <f>SUMPRODUCT($C$92:$C$93,F92:F93)</f>
        <v>1</v>
      </c>
      <c r="G95" s="204">
        <f>SUMPRODUCT($C$92:$C$93,G92:G93)</f>
        <v>0.97499999999999998</v>
      </c>
      <c r="H95" s="204">
        <f>SUMPRODUCT($C$92:$C$93,H92:H93)</f>
        <v>0.95</v>
      </c>
      <c r="I95" s="6"/>
      <c r="J95" s="6"/>
      <c r="K95" s="6"/>
      <c r="L95" s="6"/>
    </row>
    <row r="96" spans="1:12" x14ac:dyDescent="0.25">
      <c r="A96" s="202" t="s">
        <v>458</v>
      </c>
      <c r="D96" s="204">
        <f>$C$93/D95</f>
        <v>0.95</v>
      </c>
      <c r="E96" s="204">
        <f>$C$93/E95</f>
        <v>0.95</v>
      </c>
      <c r="F96" s="204">
        <f>$C$93/F95</f>
        <v>0.95</v>
      </c>
      <c r="G96" s="204">
        <f>$C$93/G95</f>
        <v>0.97435897435897434</v>
      </c>
      <c r="H96" s="204">
        <f>$C$93/H95</f>
        <v>1</v>
      </c>
      <c r="I96" s="6"/>
      <c r="J96" s="6"/>
      <c r="K96" s="6"/>
      <c r="L96" s="6"/>
    </row>
    <row r="97" spans="1:17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7" ht="62.25" customHeight="1" x14ac:dyDescent="0.25">
      <c r="A98" s="85" t="s">
        <v>242</v>
      </c>
      <c r="B98" s="125" t="s">
        <v>27</v>
      </c>
      <c r="C98" s="125" t="s">
        <v>441</v>
      </c>
      <c r="D98" s="125" t="s">
        <v>450</v>
      </c>
      <c r="E98" s="125" t="s">
        <v>448</v>
      </c>
      <c r="F98" s="125" t="s">
        <v>447</v>
      </c>
      <c r="G98" s="125" t="s">
        <v>451</v>
      </c>
      <c r="H98" s="125" t="s">
        <v>430</v>
      </c>
      <c r="I98" s="125" t="s">
        <v>442</v>
      </c>
      <c r="J98" s="125" t="s">
        <v>443</v>
      </c>
      <c r="K98" s="125" t="s">
        <v>444</v>
      </c>
      <c r="L98" s="125" t="s">
        <v>449</v>
      </c>
      <c r="M98" s="125" t="s">
        <v>445</v>
      </c>
      <c r="N98" s="125" t="s">
        <v>436</v>
      </c>
    </row>
    <row r="99" spans="1:17" x14ac:dyDescent="0.25">
      <c r="A99" s="221">
        <f>B7</f>
        <v>2019</v>
      </c>
      <c r="B99" s="228">
        <f>D73</f>
        <v>1000000</v>
      </c>
      <c r="C99" s="229">
        <f>D96</f>
        <v>0.95</v>
      </c>
      <c r="D99" s="228">
        <f>B99*C99</f>
        <v>950000</v>
      </c>
      <c r="E99" s="217">
        <f>C52</f>
        <v>1.0279569703725158</v>
      </c>
      <c r="F99" s="227">
        <f>1/E99</f>
        <v>0.97280336514242949</v>
      </c>
      <c r="G99" s="91">
        <f>F99*D99</f>
        <v>924163.19688530802</v>
      </c>
      <c r="H99" s="91">
        <f ca="1">B52</f>
        <v>702734</v>
      </c>
      <c r="I99" s="230">
        <f t="shared" ref="I99:I101" si="6">I100*(1+$E$22)</f>
        <v>0.92236815999999988</v>
      </c>
      <c r="J99" s="231">
        <f ca="1">H99*I99</f>
        <v>648179.46654943994</v>
      </c>
      <c r="K99" s="231">
        <f ca="1">(D99*$J$106)/I99</f>
        <v>720425.60185316415</v>
      </c>
      <c r="L99" s="227">
        <f>1-F99</f>
        <v>2.7196634857570512E-2</v>
      </c>
      <c r="M99" s="231">
        <f ca="1">L99*K99</f>
        <v>19593.152035645981</v>
      </c>
      <c r="N99" s="231">
        <f ca="1">H99+M99</f>
        <v>722327.15203564602</v>
      </c>
      <c r="Q99"/>
    </row>
    <row r="100" spans="1:17" x14ac:dyDescent="0.25">
      <c r="A100" s="221">
        <f>B8</f>
        <v>2020</v>
      </c>
      <c r="B100" s="228">
        <f>D74</f>
        <v>1040000</v>
      </c>
      <c r="C100" s="229">
        <f>E96</f>
        <v>0.95</v>
      </c>
      <c r="D100" s="228">
        <f t="shared" ref="D100:D103" si="7">B100*C100</f>
        <v>988000</v>
      </c>
      <c r="E100" s="217">
        <f>C53</f>
        <v>1.0566955329374412</v>
      </c>
      <c r="F100" s="227">
        <f t="shared" ref="F100:F103" si="8">1/E100</f>
        <v>0.94634638723243503</v>
      </c>
      <c r="G100" s="91">
        <f>F100*D100</f>
        <v>934990.23058564577</v>
      </c>
      <c r="H100" s="91">
        <f ca="1">B53</f>
        <v>701405</v>
      </c>
      <c r="I100" s="230">
        <f t="shared" si="6"/>
        <v>0.94119199999999992</v>
      </c>
      <c r="J100" s="231">
        <f t="shared" ref="J100:J103" ca="1" si="9">H100*I100</f>
        <v>660156.77475999994</v>
      </c>
      <c r="K100" s="231">
        <f ca="1">(D100*$J$106)/I100</f>
        <v>734257.77340874495</v>
      </c>
      <c r="L100" s="227">
        <f t="shared" ref="L100:L103" si="10">1-F100</f>
        <v>5.3653612767564973E-2</v>
      </c>
      <c r="M100" s="231">
        <f t="shared" ref="M100:M103" ca="1" si="11">L100*K100</f>
        <v>39395.58224604727</v>
      </c>
      <c r="N100" s="231">
        <f t="shared" ref="N100:N103" ca="1" si="12">H100+M100</f>
        <v>740800.58224604721</v>
      </c>
      <c r="Q100"/>
    </row>
    <row r="101" spans="1:17" x14ac:dyDescent="0.25">
      <c r="A101" s="221">
        <f>B9</f>
        <v>2021</v>
      </c>
      <c r="B101" s="228">
        <f>D75</f>
        <v>1082000</v>
      </c>
      <c r="C101" s="229">
        <f>F96</f>
        <v>0.95</v>
      </c>
      <c r="D101" s="228">
        <f t="shared" si="7"/>
        <v>1027900</v>
      </c>
      <c r="E101" s="217">
        <f>C54</f>
        <v>1.1145411001678762</v>
      </c>
      <c r="F101" s="227">
        <f t="shared" si="8"/>
        <v>0.89723025902712461</v>
      </c>
      <c r="G101" s="91">
        <f>F101*D101</f>
        <v>922262.98325398134</v>
      </c>
      <c r="H101" s="91">
        <f ca="1">B54</f>
        <v>681837</v>
      </c>
      <c r="I101" s="230">
        <f t="shared" si="6"/>
        <v>0.96039999999999992</v>
      </c>
      <c r="J101" s="231">
        <f t="shared" ca="1" si="9"/>
        <v>654836.2548</v>
      </c>
      <c r="K101" s="231">
        <f ca="1">(D101*$J$106)/I101</f>
        <v>748632.2813574007</v>
      </c>
      <c r="L101" s="227">
        <f t="shared" si="10"/>
        <v>0.10276974097287539</v>
      </c>
      <c r="M101" s="231">
        <f t="shared" ca="1" si="11"/>
        <v>76936.745639032844</v>
      </c>
      <c r="N101" s="237">
        <f ca="1">H101+M101+D23</f>
        <v>808773.7456390328</v>
      </c>
      <c r="Q101"/>
    </row>
    <row r="102" spans="1:17" x14ac:dyDescent="0.25">
      <c r="A102" s="221">
        <f>B10</f>
        <v>2022</v>
      </c>
      <c r="B102" s="228">
        <f>D76</f>
        <v>1125000</v>
      </c>
      <c r="C102" s="229">
        <f>G96</f>
        <v>0.97435897435897434</v>
      </c>
      <c r="D102" s="228">
        <f t="shared" si="7"/>
        <v>1096153.8461538462</v>
      </c>
      <c r="E102" s="217">
        <f>C55</f>
        <v>1.2541639520763399</v>
      </c>
      <c r="F102" s="227">
        <f t="shared" si="8"/>
        <v>0.79734391850797737</v>
      </c>
      <c r="G102" s="91">
        <f>F102*D102</f>
        <v>874011.60297989834</v>
      </c>
      <c r="H102" s="91">
        <f ca="1">B55</f>
        <v>621002</v>
      </c>
      <c r="I102" s="230">
        <f>I103*(1+$E$22)</f>
        <v>0.98</v>
      </c>
      <c r="J102" s="231">
        <f t="shared" ca="1" si="9"/>
        <v>608581.96</v>
      </c>
      <c r="K102" s="231">
        <f ca="1">(D102*$J$106)/I102</f>
        <v>782375.55353005766</v>
      </c>
      <c r="L102" s="227">
        <f t="shared" si="10"/>
        <v>0.20265608149202263</v>
      </c>
      <c r="M102" s="231">
        <f t="shared" ca="1" si="11"/>
        <v>158553.16393355367</v>
      </c>
      <c r="N102" s="231">
        <f t="shared" ca="1" si="12"/>
        <v>779555.16393355373</v>
      </c>
      <c r="Q102"/>
    </row>
    <row r="103" spans="1:17" x14ac:dyDescent="0.25">
      <c r="A103" s="224">
        <f>B11</f>
        <v>2023</v>
      </c>
      <c r="B103" s="233">
        <f>D77</f>
        <v>1170000</v>
      </c>
      <c r="C103" s="234">
        <f>H96</f>
        <v>1</v>
      </c>
      <c r="D103" s="233">
        <f t="shared" si="7"/>
        <v>1170000</v>
      </c>
      <c r="E103" s="219">
        <f>C56</f>
        <v>1.3378280104128151</v>
      </c>
      <c r="F103" s="232">
        <f t="shared" si="8"/>
        <v>0.7474802382792306</v>
      </c>
      <c r="G103" s="220">
        <f>F103*D103</f>
        <v>874551.87878669985</v>
      </c>
      <c r="H103" s="220">
        <f ca="1">B56</f>
        <v>596836</v>
      </c>
      <c r="I103" s="235">
        <v>1</v>
      </c>
      <c r="J103" s="236">
        <f t="shared" ca="1" si="9"/>
        <v>596836</v>
      </c>
      <c r="K103" s="236">
        <f ca="1">(D103*$J$106)/I103</f>
        <v>818381.30005672504</v>
      </c>
      <c r="L103" s="232">
        <f t="shared" si="10"/>
        <v>0.2525197617207694</v>
      </c>
      <c r="M103" s="236">
        <f t="shared" ca="1" si="11"/>
        <v>206657.4508870577</v>
      </c>
      <c r="N103" s="236">
        <f t="shared" ca="1" si="12"/>
        <v>803493.4508870577</v>
      </c>
      <c r="Q103"/>
    </row>
    <row r="104" spans="1:17" x14ac:dyDescent="0.25">
      <c r="A104" s="221" t="s">
        <v>31</v>
      </c>
      <c r="B104" s="228">
        <f>SUM(B99:B103)</f>
        <v>5417000</v>
      </c>
      <c r="D104" s="228">
        <f>SUM(D99:D103)</f>
        <v>5232053.846153846</v>
      </c>
      <c r="G104" s="91">
        <f>SUM(G99:G103)</f>
        <v>4529979.8924915334</v>
      </c>
      <c r="H104" s="91">
        <f ca="1">SUM(H99:H103)</f>
        <v>3303814</v>
      </c>
      <c r="I104" s="216"/>
      <c r="J104" s="231">
        <f ca="1">SUM(J99:J103)</f>
        <v>3168590.45610944</v>
      </c>
      <c r="K104" s="231">
        <f ca="1">SUM(K99:K103)</f>
        <v>3804072.5102060921</v>
      </c>
      <c r="L104" s="231"/>
      <c r="M104" s="231">
        <f ca="1">SUM(M99:M103)</f>
        <v>501136.09474133747</v>
      </c>
      <c r="N104" s="231">
        <f ca="1">SUM(N99:N103)</f>
        <v>3854950.094741337</v>
      </c>
      <c r="Q104"/>
    </row>
    <row r="105" spans="1:17" x14ac:dyDescent="0.25">
      <c r="A105" s="6"/>
      <c r="B105" s="6"/>
      <c r="C105" s="6"/>
      <c r="D105" s="6"/>
      <c r="F105" s="6"/>
      <c r="G105" s="6"/>
      <c r="H105" s="6"/>
      <c r="I105" s="6"/>
      <c r="K105" s="6"/>
      <c r="L105" s="6"/>
      <c r="Q105"/>
    </row>
    <row r="106" spans="1:17" x14ac:dyDescent="0.25">
      <c r="G106" s="1" t="s">
        <v>446</v>
      </c>
      <c r="J106" s="229">
        <f ca="1">J104/G104</f>
        <v>0.69947119662967949</v>
      </c>
      <c r="Q106"/>
    </row>
    <row r="108" spans="1:17" x14ac:dyDescent="0.25">
      <c r="A108" s="5" t="s">
        <v>6</v>
      </c>
      <c r="B108" s="8" t="s">
        <v>213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7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7" x14ac:dyDescent="0.25">
      <c r="A110" s="6" t="s">
        <v>1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7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7" x14ac:dyDescent="0.25">
      <c r="A112" s="1" t="s">
        <v>452</v>
      </c>
    </row>
    <row r="113" spans="1:1" x14ac:dyDescent="0.25">
      <c r="A113" s="84" t="s">
        <v>456</v>
      </c>
    </row>
    <row r="114" spans="1:1" x14ac:dyDescent="0.25">
      <c r="A114" s="84" t="s">
        <v>455</v>
      </c>
    </row>
    <row r="115" spans="1:1" x14ac:dyDescent="0.25">
      <c r="A115" s="84" t="s">
        <v>454</v>
      </c>
    </row>
    <row r="116" spans="1:1" x14ac:dyDescent="0.25">
      <c r="A116" s="84" t="s">
        <v>453</v>
      </c>
    </row>
  </sheetData>
  <mergeCells count="5">
    <mergeCell ref="D90:H90"/>
    <mergeCell ref="C5:G5"/>
    <mergeCell ref="B26:K27"/>
    <mergeCell ref="B32:F32"/>
    <mergeCell ref="A40:F40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E1FC-78E5-4C5C-80DF-2E15D8E637C9}">
  <dimension ref="A1:R66"/>
  <sheetViews>
    <sheetView zoomScale="120" zoomScaleNormal="120" workbookViewId="0"/>
  </sheetViews>
  <sheetFormatPr defaultColWidth="8.85546875" defaultRowHeight="15.75" x14ac:dyDescent="0.25"/>
  <cols>
    <col min="1" max="1" width="10.7109375" style="1" customWidth="1"/>
    <col min="2" max="3" width="14.7109375" style="1" customWidth="1"/>
    <col min="4" max="4" width="15.85546875" style="1" customWidth="1"/>
    <col min="5" max="6" width="14.7109375" style="1" customWidth="1"/>
    <col min="7" max="8" width="12.7109375" style="1" customWidth="1"/>
    <col min="9" max="9" width="14.42578125" style="1" customWidth="1"/>
    <col min="10" max="10" width="8.85546875" style="1"/>
    <col min="11" max="11" width="11.28515625" style="1" bestFit="1" customWidth="1"/>
    <col min="12" max="14" width="8.85546875" style="1"/>
    <col min="15" max="15" width="11.28515625" style="1" bestFit="1" customWidth="1"/>
    <col min="16" max="16384" width="8.85546875" style="1"/>
  </cols>
  <sheetData>
    <row r="1" spans="1:12" ht="18.75" x14ac:dyDescent="0.3">
      <c r="A1" s="2" t="s">
        <v>214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" t="s">
        <v>215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</row>
    <row r="4" spans="1:12" x14ac:dyDescent="0.25">
      <c r="A4" s="45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32.450000000000003" customHeight="1" x14ac:dyDescent="0.25">
      <c r="A5" s="45"/>
      <c r="B5" s="283" t="s">
        <v>216</v>
      </c>
      <c r="C5" s="283" t="s">
        <v>26</v>
      </c>
      <c r="D5" s="283" t="s">
        <v>217</v>
      </c>
      <c r="E5" s="283" t="s">
        <v>218</v>
      </c>
      <c r="F5" s="283"/>
      <c r="G5" s="8"/>
      <c r="H5" s="8"/>
      <c r="I5" s="8"/>
      <c r="J5" s="8"/>
      <c r="K5" s="8"/>
      <c r="L5" s="8"/>
    </row>
    <row r="6" spans="1:12" x14ac:dyDescent="0.25">
      <c r="A6" s="45"/>
      <c r="B6" s="283"/>
      <c r="C6" s="283"/>
      <c r="D6" s="283"/>
      <c r="E6" s="33" t="s">
        <v>142</v>
      </c>
      <c r="F6" s="33" t="s">
        <v>219</v>
      </c>
      <c r="G6" s="8"/>
      <c r="H6" s="8"/>
      <c r="I6" s="8"/>
      <c r="J6" s="8"/>
      <c r="K6" s="8"/>
      <c r="L6" s="8"/>
    </row>
    <row r="7" spans="1:12" x14ac:dyDescent="0.25">
      <c r="A7" s="45"/>
      <c r="B7" s="21">
        <v>2017</v>
      </c>
      <c r="C7" s="22">
        <v>4082</v>
      </c>
      <c r="D7" s="22">
        <v>5002004</v>
      </c>
      <c r="E7" s="22">
        <v>5002004</v>
      </c>
      <c r="F7" s="21">
        <v>174</v>
      </c>
      <c r="G7" s="8"/>
      <c r="H7" s="8"/>
      <c r="I7" s="8"/>
      <c r="J7" s="8"/>
      <c r="K7" s="8"/>
      <c r="L7" s="8"/>
    </row>
    <row r="8" spans="1:12" x14ac:dyDescent="0.25">
      <c r="A8" s="45"/>
      <c r="B8" s="21">
        <v>2018</v>
      </c>
      <c r="C8" s="22">
        <v>4248</v>
      </c>
      <c r="D8" s="22">
        <v>5420340</v>
      </c>
      <c r="E8" s="22">
        <v>5451477</v>
      </c>
      <c r="F8" s="21">
        <v>182</v>
      </c>
      <c r="G8" s="8"/>
      <c r="H8" s="8"/>
      <c r="I8" s="8"/>
      <c r="J8" s="8"/>
      <c r="K8" s="8"/>
      <c r="L8" s="8"/>
    </row>
    <row r="9" spans="1:12" x14ac:dyDescent="0.25">
      <c r="A9" s="8"/>
      <c r="B9" s="21">
        <v>2019</v>
      </c>
      <c r="C9" s="22">
        <v>4274</v>
      </c>
      <c r="D9" s="22">
        <v>5649182</v>
      </c>
      <c r="E9" s="22">
        <v>5729118</v>
      </c>
      <c r="F9" s="21">
        <v>184</v>
      </c>
      <c r="G9" s="8"/>
      <c r="H9" s="8"/>
      <c r="I9" s="8"/>
      <c r="J9" s="8"/>
      <c r="K9" s="8"/>
      <c r="L9" s="8"/>
    </row>
    <row r="10" spans="1:12" x14ac:dyDescent="0.25">
      <c r="A10" s="8"/>
      <c r="B10" s="21">
        <v>2020</v>
      </c>
      <c r="C10" s="22">
        <v>4437</v>
      </c>
      <c r="D10" s="22">
        <v>6034903</v>
      </c>
      <c r="E10" s="22">
        <v>6218509</v>
      </c>
      <c r="F10" s="21">
        <v>192</v>
      </c>
      <c r="G10" s="8"/>
      <c r="H10" s="8"/>
      <c r="I10" s="8"/>
      <c r="J10" s="8"/>
      <c r="K10" s="8"/>
      <c r="L10" s="8"/>
    </row>
    <row r="11" spans="1:12" x14ac:dyDescent="0.25">
      <c r="A11" s="45"/>
      <c r="B11" s="21">
        <v>2021</v>
      </c>
      <c r="C11" s="22">
        <v>4438</v>
      </c>
      <c r="D11" s="22">
        <v>6167181</v>
      </c>
      <c r="E11" s="22">
        <v>6510280</v>
      </c>
      <c r="F11" s="21">
        <v>193</v>
      </c>
      <c r="G11" s="8"/>
      <c r="H11" s="8"/>
      <c r="I11" s="8"/>
      <c r="J11" s="8"/>
      <c r="K11" s="8"/>
      <c r="L11" s="8"/>
    </row>
    <row r="12" spans="1:12" x14ac:dyDescent="0.25">
      <c r="A12" s="8"/>
      <c r="B12" s="21">
        <v>2022</v>
      </c>
      <c r="C12" s="22">
        <v>4668</v>
      </c>
      <c r="D12" s="22">
        <v>5673216</v>
      </c>
      <c r="E12" s="22">
        <v>7159008</v>
      </c>
      <c r="F12" s="21">
        <v>204</v>
      </c>
      <c r="G12" s="8"/>
      <c r="H12" s="8"/>
      <c r="I12" s="8"/>
      <c r="J12" s="8"/>
      <c r="K12" s="8"/>
      <c r="L12" s="8"/>
    </row>
    <row r="13" spans="1:12" x14ac:dyDescent="0.25">
      <c r="A13" s="8"/>
      <c r="B13" s="21">
        <v>2023</v>
      </c>
      <c r="C13" s="22">
        <v>4706</v>
      </c>
      <c r="D13" s="22">
        <v>2889081</v>
      </c>
      <c r="E13" s="22">
        <v>7850014</v>
      </c>
      <c r="F13" s="21">
        <v>217</v>
      </c>
      <c r="G13" s="8"/>
      <c r="H13" s="8"/>
      <c r="I13" s="8"/>
      <c r="J13" s="8"/>
      <c r="K13" s="8"/>
      <c r="L13" s="8"/>
    </row>
    <row r="14" spans="1:1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5">
      <c r="A15" s="8"/>
      <c r="B15" s="35" t="s">
        <v>35</v>
      </c>
      <c r="C15" s="8"/>
      <c r="D15" s="46">
        <v>0.04</v>
      </c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8"/>
      <c r="B16" s="35" t="s">
        <v>220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8"/>
      <c r="B17" s="35" t="s">
        <v>222</v>
      </c>
      <c r="C17" s="8"/>
      <c r="D17" s="8"/>
      <c r="E17" s="36">
        <v>0.05</v>
      </c>
      <c r="F17" s="38" t="s">
        <v>223</v>
      </c>
      <c r="G17" s="8"/>
      <c r="H17" s="8"/>
      <c r="I17" s="8"/>
      <c r="J17" s="8"/>
      <c r="K17" s="8"/>
      <c r="L17" s="8"/>
    </row>
    <row r="18" spans="1:18" x14ac:dyDescent="0.25">
      <c r="A18" s="8"/>
      <c r="B18" s="35" t="s">
        <v>221</v>
      </c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8" x14ac:dyDescent="0.25">
      <c r="A20" s="5" t="s">
        <v>4</v>
      </c>
      <c r="B20" s="8" t="s">
        <v>224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7"/>
      <c r="N20" s="7"/>
      <c r="O20" s="7"/>
      <c r="P20" s="7"/>
      <c r="Q20" s="7"/>
      <c r="R20" s="7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8" x14ac:dyDescent="0.25">
      <c r="A22" s="6" t="s">
        <v>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8" ht="47.25" x14ac:dyDescent="0.25">
      <c r="A23" s="125" t="s">
        <v>464</v>
      </c>
      <c r="B23" s="85" t="s">
        <v>465</v>
      </c>
      <c r="C23" s="125" t="s">
        <v>466</v>
      </c>
      <c r="D23" s="125" t="s">
        <v>467</v>
      </c>
      <c r="E23" s="125" t="s">
        <v>468</v>
      </c>
      <c r="F23" s="6"/>
      <c r="G23" s="6"/>
      <c r="H23" s="6"/>
      <c r="I23" s="6"/>
      <c r="J23" s="6"/>
      <c r="K23" s="6"/>
      <c r="L23" s="6"/>
      <c r="M23" s="6"/>
      <c r="N23" s="7"/>
    </row>
    <row r="24" spans="1:18" x14ac:dyDescent="0.25">
      <c r="A24" s="96">
        <f t="shared" ref="A24:A30" si="0">B7</f>
        <v>2017</v>
      </c>
      <c r="B24" s="243">
        <f t="shared" ref="B24:B30" si="1">F7/C7</f>
        <v>4.2626163645271928E-2</v>
      </c>
      <c r="C24" s="244">
        <v>1.05</v>
      </c>
      <c r="D24" s="245">
        <f t="shared" ref="D24:D30" si="2">B24*C24</f>
        <v>4.4757471827535526E-2</v>
      </c>
      <c r="E24" s="231"/>
      <c r="F24" s="6"/>
      <c r="G24" s="6"/>
      <c r="H24" s="6"/>
      <c r="I24" s="6"/>
      <c r="J24" s="6"/>
      <c r="K24" s="6"/>
      <c r="L24" s="6"/>
      <c r="M24" s="6"/>
      <c r="N24" s="7"/>
    </row>
    <row r="25" spans="1:18" x14ac:dyDescent="0.25">
      <c r="A25" s="96">
        <f t="shared" si="0"/>
        <v>2018</v>
      </c>
      <c r="B25" s="243">
        <f t="shared" si="1"/>
        <v>4.2843691148775898E-2</v>
      </c>
      <c r="C25" s="244">
        <f>C24</f>
        <v>1.05</v>
      </c>
      <c r="D25" s="245">
        <f t="shared" si="2"/>
        <v>4.4985875706214692E-2</v>
      </c>
      <c r="E25" s="140">
        <f t="shared" ref="E25:E30" si="3">D25/D24-1</f>
        <v>5.1031452258805121E-3</v>
      </c>
      <c r="F25" s="6"/>
      <c r="G25" s="6"/>
      <c r="H25" s="6"/>
      <c r="I25" s="6"/>
      <c r="J25" s="6"/>
      <c r="K25" s="6"/>
      <c r="L25" s="6"/>
      <c r="M25" s="6"/>
      <c r="N25" s="7"/>
    </row>
    <row r="26" spans="1:18" x14ac:dyDescent="0.25">
      <c r="A26" s="96">
        <f t="shared" si="0"/>
        <v>2019</v>
      </c>
      <c r="B26" s="243">
        <f t="shared" si="1"/>
        <v>4.3051006083294339E-2</v>
      </c>
      <c r="C26" s="244">
        <f>C25</f>
        <v>1.05</v>
      </c>
      <c r="D26" s="245">
        <f t="shared" si="2"/>
        <v>4.5203556387459057E-2</v>
      </c>
      <c r="E26" s="140">
        <f t="shared" si="3"/>
        <v>4.8388672628261187E-3</v>
      </c>
      <c r="F26" s="6"/>
      <c r="G26" s="6"/>
      <c r="H26" s="6"/>
      <c r="I26" s="6"/>
      <c r="J26" s="6"/>
      <c r="K26" s="6"/>
      <c r="L26" s="6"/>
      <c r="M26" s="6"/>
      <c r="N26" s="7"/>
    </row>
    <row r="27" spans="1:18" x14ac:dyDescent="0.25">
      <c r="A27" s="96">
        <f t="shared" si="0"/>
        <v>2020</v>
      </c>
      <c r="B27" s="243">
        <f t="shared" si="1"/>
        <v>4.3272481406355645E-2</v>
      </c>
      <c r="C27" s="244">
        <f>C26</f>
        <v>1.05</v>
      </c>
      <c r="D27" s="245">
        <f t="shared" si="2"/>
        <v>4.5436105476673427E-2</v>
      </c>
      <c r="E27" s="140">
        <f t="shared" si="3"/>
        <v>5.1444865802392492E-3</v>
      </c>
      <c r="F27" s="6"/>
      <c r="G27" s="6"/>
      <c r="H27" s="6"/>
      <c r="I27" s="6"/>
      <c r="J27" s="6"/>
      <c r="K27" s="6"/>
      <c r="L27" s="6"/>
      <c r="M27" s="6"/>
      <c r="N27" s="7"/>
    </row>
    <row r="28" spans="1:18" x14ac:dyDescent="0.25">
      <c r="A28" s="96">
        <f t="shared" si="0"/>
        <v>2021</v>
      </c>
      <c r="B28" s="243">
        <f t="shared" si="1"/>
        <v>4.3488057683641279E-2</v>
      </c>
      <c r="C28" s="244">
        <f>C27</f>
        <v>1.05</v>
      </c>
      <c r="D28" s="245">
        <f t="shared" si="2"/>
        <v>4.5662460567823346E-2</v>
      </c>
      <c r="E28" s="140">
        <f t="shared" si="3"/>
        <v>4.9818330328976757E-3</v>
      </c>
      <c r="F28" s="6"/>
      <c r="G28" s="6"/>
      <c r="H28" s="6"/>
      <c r="I28" s="6"/>
      <c r="J28" s="6"/>
      <c r="K28" s="6"/>
      <c r="L28" s="6"/>
      <c r="M28" s="6"/>
      <c r="N28" s="7"/>
    </row>
    <row r="29" spans="1:18" x14ac:dyDescent="0.25">
      <c r="A29" s="96">
        <f t="shared" si="0"/>
        <v>2022</v>
      </c>
      <c r="B29" s="243">
        <f t="shared" si="1"/>
        <v>4.3701799485861184E-2</v>
      </c>
      <c r="C29" s="244">
        <f>C28</f>
        <v>1.05</v>
      </c>
      <c r="D29" s="245">
        <f t="shared" si="2"/>
        <v>4.5886889460154248E-2</v>
      </c>
      <c r="E29" s="140">
        <f t="shared" si="3"/>
        <v>4.9149539805799503E-3</v>
      </c>
      <c r="F29" s="6"/>
      <c r="G29" s="6"/>
      <c r="H29" s="6"/>
      <c r="I29" s="6"/>
      <c r="J29" s="6"/>
      <c r="K29" s="6"/>
      <c r="L29" s="6"/>
      <c r="M29" s="6"/>
      <c r="N29" s="7"/>
    </row>
    <row r="30" spans="1:18" x14ac:dyDescent="0.25">
      <c r="A30" s="85">
        <f t="shared" si="0"/>
        <v>2023</v>
      </c>
      <c r="B30" s="246">
        <f t="shared" si="1"/>
        <v>4.6111347216319591E-2</v>
      </c>
      <c r="C30" s="247">
        <v>1</v>
      </c>
      <c r="D30" s="248">
        <f t="shared" si="2"/>
        <v>4.6111347216319591E-2</v>
      </c>
      <c r="E30" s="141">
        <f t="shared" si="3"/>
        <v>4.8915443780570556E-3</v>
      </c>
      <c r="F30" s="6"/>
      <c r="G30" s="6"/>
      <c r="H30" s="6"/>
      <c r="I30" s="6"/>
      <c r="J30" s="6"/>
      <c r="K30" s="6"/>
      <c r="L30" s="6"/>
      <c r="M30" s="6"/>
      <c r="N30" s="7"/>
    </row>
    <row r="31" spans="1:18" x14ac:dyDescent="0.25">
      <c r="D31" s="99" t="s">
        <v>469</v>
      </c>
      <c r="E31" s="137">
        <f>AVERAGE(E25:E30)</f>
        <v>4.9791384100800933E-3</v>
      </c>
      <c r="F31" s="6"/>
      <c r="G31" s="6"/>
      <c r="H31" s="6"/>
      <c r="I31" s="6"/>
      <c r="J31" s="6"/>
      <c r="K31" s="6"/>
      <c r="L31" s="6"/>
      <c r="M31" s="6"/>
      <c r="N31" s="7"/>
    </row>
    <row r="32" spans="1:18" x14ac:dyDescent="0.25">
      <c r="D32" s="99" t="s">
        <v>470</v>
      </c>
      <c r="E32" s="137">
        <f>AVERAGE(E25:E29)</f>
        <v>4.9966572164847015E-3</v>
      </c>
      <c r="F32" s="6"/>
      <c r="G32" s="6"/>
      <c r="H32" s="6"/>
      <c r="I32" s="6"/>
      <c r="J32" s="6"/>
      <c r="K32" s="6"/>
      <c r="L32" s="6"/>
      <c r="M32" s="6"/>
      <c r="N32" s="7"/>
    </row>
    <row r="33" spans="1:15" x14ac:dyDescent="0.25">
      <c r="F33" s="6"/>
      <c r="G33" s="6"/>
      <c r="H33" s="6"/>
      <c r="I33" s="6"/>
      <c r="J33" s="6"/>
      <c r="K33" s="6"/>
      <c r="L33" s="6"/>
      <c r="M33" s="6"/>
      <c r="N33" s="7"/>
    </row>
    <row r="34" spans="1:15" x14ac:dyDescent="0.25">
      <c r="A34" s="1" t="s">
        <v>471</v>
      </c>
      <c r="E34" s="137">
        <v>5.0000000000000001E-3</v>
      </c>
      <c r="F34" s="6"/>
      <c r="G34" s="6"/>
      <c r="H34" s="6"/>
      <c r="I34" s="6"/>
      <c r="J34" s="6"/>
      <c r="K34" s="6"/>
      <c r="L34" s="6"/>
      <c r="M34" s="6"/>
      <c r="N34" s="7"/>
    </row>
    <row r="36" spans="1:15" x14ac:dyDescent="0.25">
      <c r="A36" s="5" t="s">
        <v>5</v>
      </c>
      <c r="B36" s="8" t="s">
        <v>225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5" x14ac:dyDescent="0.25">
      <c r="A38" s="6" t="s">
        <v>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5" ht="31.5" x14ac:dyDescent="0.25">
      <c r="A39" s="125" t="s">
        <v>242</v>
      </c>
      <c r="B39" s="85" t="s">
        <v>465</v>
      </c>
      <c r="C39" s="85" t="s">
        <v>472</v>
      </c>
      <c r="D39" s="125" t="s">
        <v>473</v>
      </c>
      <c r="E39" s="125" t="s">
        <v>474</v>
      </c>
      <c r="F39" s="125" t="s">
        <v>466</v>
      </c>
      <c r="G39" s="125" t="s">
        <v>475</v>
      </c>
      <c r="H39" s="125" t="s">
        <v>476</v>
      </c>
      <c r="I39" s="125" t="s">
        <v>87</v>
      </c>
      <c r="J39" s="6"/>
      <c r="K39" s="6"/>
      <c r="L39" s="6"/>
    </row>
    <row r="40" spans="1:15" x14ac:dyDescent="0.25">
      <c r="A40" s="96">
        <f t="shared" ref="A40:A46" si="4">B7</f>
        <v>2017</v>
      </c>
      <c r="B40" s="243">
        <f t="shared" ref="B40:B46" si="5">F7/C7</f>
        <v>4.2626163645271928E-2</v>
      </c>
      <c r="C40" s="97">
        <f t="shared" ref="C40:C46" si="6">E7/F7</f>
        <v>28747.149425287356</v>
      </c>
      <c r="D40" s="245">
        <f t="shared" ref="D40:D45" si="7">D41*(1+$E$34)</f>
        <v>1.0303775093937648</v>
      </c>
      <c r="E40" s="245">
        <f t="shared" ref="E40:E44" si="8">E41*(1+4%)</f>
        <v>1.2653190184960004</v>
      </c>
      <c r="F40" s="244">
        <v>1.05</v>
      </c>
      <c r="G40" s="245">
        <f>B40*D40*F40</f>
        <v>4.6117092348417647E-2</v>
      </c>
      <c r="H40" s="250">
        <f t="shared" ref="H40:H46" si="9">C40*E40</f>
        <v>36374.314895362462</v>
      </c>
      <c r="I40" s="97">
        <f t="shared" ref="I40:I46" si="10">$G$49*$H$49*C7/D40/E40/F40</f>
        <v>5011552.601367427</v>
      </c>
      <c r="J40" s="6"/>
      <c r="K40"/>
      <c r="L40" s="6"/>
      <c r="M40"/>
      <c r="N40"/>
      <c r="O40"/>
    </row>
    <row r="41" spans="1:15" x14ac:dyDescent="0.25">
      <c r="A41" s="96">
        <f t="shared" si="4"/>
        <v>2018</v>
      </c>
      <c r="B41" s="243">
        <f t="shared" si="5"/>
        <v>4.2843691148775898E-2</v>
      </c>
      <c r="C41" s="97">
        <f t="shared" si="6"/>
        <v>29953.170329670331</v>
      </c>
      <c r="D41" s="245">
        <f t="shared" si="7"/>
        <v>1.0252512531281244</v>
      </c>
      <c r="E41" s="245">
        <f t="shared" si="8"/>
        <v>1.2166529024000003</v>
      </c>
      <c r="F41" s="244">
        <f>F40</f>
        <v>1.05</v>
      </c>
      <c r="G41" s="245">
        <f t="shared" ref="G41:G46" si="11">B41*D41*F41</f>
        <v>4.6121825440862664E-2</v>
      </c>
      <c r="H41" s="250">
        <f t="shared" si="9"/>
        <v>36442.611617674986</v>
      </c>
      <c r="I41" s="97">
        <f t="shared" si="10"/>
        <v>5451088.1090093944</v>
      </c>
      <c r="J41" s="6"/>
      <c r="K41"/>
      <c r="L41" s="6"/>
      <c r="M41"/>
      <c r="N41"/>
      <c r="O41"/>
    </row>
    <row r="42" spans="1:15" x14ac:dyDescent="0.25">
      <c r="A42" s="96">
        <f t="shared" si="4"/>
        <v>2019</v>
      </c>
      <c r="B42" s="243">
        <f t="shared" si="5"/>
        <v>4.3051006083294339E-2</v>
      </c>
      <c r="C42" s="97">
        <f t="shared" si="6"/>
        <v>31136.510869565216</v>
      </c>
      <c r="D42" s="245">
        <f t="shared" si="7"/>
        <v>1.0201505006249996</v>
      </c>
      <c r="E42" s="245">
        <f t="shared" si="8"/>
        <v>1.1698585600000002</v>
      </c>
      <c r="F42" s="244">
        <f t="shared" ref="F42:F45" si="12">F41</f>
        <v>1.05</v>
      </c>
      <c r="G42" s="245">
        <f t="shared" si="11"/>
        <v>4.6114430678696749E-2</v>
      </c>
      <c r="H42" s="250">
        <f t="shared" si="9"/>
        <v>36425.31376929392</v>
      </c>
      <c r="I42" s="97">
        <f t="shared" si="10"/>
        <v>5732348.856880297</v>
      </c>
      <c r="J42" s="6"/>
      <c r="K42"/>
      <c r="L42" s="6"/>
      <c r="M42"/>
      <c r="N42"/>
      <c r="O42"/>
    </row>
    <row r="43" spans="1:15" x14ac:dyDescent="0.25">
      <c r="A43" s="96">
        <f t="shared" si="4"/>
        <v>2020</v>
      </c>
      <c r="B43" s="243">
        <f t="shared" si="5"/>
        <v>4.3272481406355645E-2</v>
      </c>
      <c r="C43" s="97">
        <f t="shared" si="6"/>
        <v>32388.067708333332</v>
      </c>
      <c r="D43" s="245">
        <f t="shared" si="7"/>
        <v>1.0150751249999996</v>
      </c>
      <c r="E43" s="245">
        <f t="shared" si="8"/>
        <v>1.1248640000000001</v>
      </c>
      <c r="F43" s="244">
        <f t="shared" si="12"/>
        <v>1.05</v>
      </c>
      <c r="G43" s="245">
        <f t="shared" si="11"/>
        <v>4.6121060446247447E-2</v>
      </c>
      <c r="H43" s="250">
        <f t="shared" si="9"/>
        <v>36432.171394666671</v>
      </c>
      <c r="I43" s="97">
        <f t="shared" si="10"/>
        <v>6219950.444282284</v>
      </c>
      <c r="J43" s="6"/>
      <c r="K43"/>
      <c r="L43" s="6"/>
      <c r="M43"/>
      <c r="N43"/>
      <c r="O43"/>
    </row>
    <row r="44" spans="1:15" x14ac:dyDescent="0.25">
      <c r="A44" s="96">
        <f t="shared" si="4"/>
        <v>2021</v>
      </c>
      <c r="B44" s="243">
        <f t="shared" si="5"/>
        <v>4.3488057683641279E-2</v>
      </c>
      <c r="C44" s="97">
        <f t="shared" si="6"/>
        <v>33732.020725388604</v>
      </c>
      <c r="D44" s="245">
        <f t="shared" si="7"/>
        <v>1.0100249999999997</v>
      </c>
      <c r="E44" s="245">
        <f t="shared" si="8"/>
        <v>1.0816000000000001</v>
      </c>
      <c r="F44" s="244">
        <f t="shared" si="12"/>
        <v>1.05</v>
      </c>
      <c r="G44" s="245">
        <f t="shared" si="11"/>
        <v>4.6120226735015764E-2</v>
      </c>
      <c r="H44" s="250">
        <f t="shared" si="9"/>
        <v>36484.553616580321</v>
      </c>
      <c r="I44" s="97">
        <f t="shared" si="10"/>
        <v>6502557.4043197511</v>
      </c>
      <c r="J44" s="6"/>
      <c r="K44"/>
      <c r="L44" s="6"/>
      <c r="M44"/>
      <c r="N44"/>
      <c r="O44"/>
    </row>
    <row r="45" spans="1:15" x14ac:dyDescent="0.25">
      <c r="A45" s="96">
        <f t="shared" si="4"/>
        <v>2022</v>
      </c>
      <c r="B45" s="243">
        <f t="shared" si="5"/>
        <v>4.3701799485861184E-2</v>
      </c>
      <c r="C45" s="97">
        <f t="shared" si="6"/>
        <v>35093.176470588238</v>
      </c>
      <c r="D45" s="245">
        <f t="shared" si="7"/>
        <v>1.0049999999999999</v>
      </c>
      <c r="E45" s="245">
        <f>E46*(1+4%)</f>
        <v>1.04</v>
      </c>
      <c r="F45" s="244">
        <f t="shared" si="12"/>
        <v>1.05</v>
      </c>
      <c r="G45" s="245">
        <f t="shared" si="11"/>
        <v>4.6116323907455008E-2</v>
      </c>
      <c r="H45" s="250">
        <f t="shared" si="9"/>
        <v>36496.903529411771</v>
      </c>
      <c r="I45" s="97">
        <f t="shared" si="10"/>
        <v>7148701.2075954648</v>
      </c>
      <c r="J45" s="6"/>
      <c r="K45"/>
      <c r="L45" s="6"/>
      <c r="M45"/>
      <c r="N45"/>
      <c r="O45"/>
    </row>
    <row r="46" spans="1:15" x14ac:dyDescent="0.25">
      <c r="A46" s="85">
        <f t="shared" si="4"/>
        <v>2023</v>
      </c>
      <c r="B46" s="246">
        <f t="shared" si="5"/>
        <v>4.6111347216319591E-2</v>
      </c>
      <c r="C46" s="249">
        <f t="shared" si="6"/>
        <v>36175.179723502304</v>
      </c>
      <c r="D46" s="248">
        <v>1</v>
      </c>
      <c r="E46" s="248">
        <v>1</v>
      </c>
      <c r="F46" s="247">
        <v>1</v>
      </c>
      <c r="G46" s="248">
        <f t="shared" si="11"/>
        <v>4.6111347216319591E-2</v>
      </c>
      <c r="H46" s="251">
        <f t="shared" si="9"/>
        <v>36175.179723502304</v>
      </c>
      <c r="I46" s="249">
        <f t="shared" si="10"/>
        <v>7909279.462299915</v>
      </c>
      <c r="J46" s="6"/>
      <c r="K46"/>
      <c r="L46" s="6"/>
      <c r="M46"/>
      <c r="N46"/>
      <c r="O46"/>
    </row>
    <row r="47" spans="1:15" x14ac:dyDescent="0.25">
      <c r="E47" s="282" t="s">
        <v>478</v>
      </c>
      <c r="F47" s="282"/>
      <c r="G47" s="245">
        <f>AVERAGE(G40:G46)</f>
        <v>4.6117472396144985E-2</v>
      </c>
      <c r="H47" s="250">
        <f>AVERAGE(H40:H46)</f>
        <v>36404.43550664177</v>
      </c>
      <c r="I47" s="97">
        <f>SUM(I40:I46)</f>
        <v>43975478.085754529</v>
      </c>
      <c r="J47" s="6"/>
      <c r="K47"/>
      <c r="L47" s="6"/>
      <c r="M47"/>
      <c r="N47"/>
      <c r="O47"/>
    </row>
    <row r="48" spans="1:15" x14ac:dyDescent="0.25">
      <c r="D48" s="282" t="s">
        <v>481</v>
      </c>
      <c r="E48" s="282"/>
      <c r="F48" s="282"/>
      <c r="G48" s="245">
        <f>AVERAGE(G40:G45)</f>
        <v>4.6118493259449216E-2</v>
      </c>
      <c r="H48" s="250">
        <f>AVERAGE(H40:H45)</f>
        <v>36442.644803831681</v>
      </c>
      <c r="M48"/>
      <c r="N48"/>
      <c r="O48"/>
    </row>
    <row r="49" spans="1:12" x14ac:dyDescent="0.25">
      <c r="E49" s="99"/>
      <c r="F49" s="99" t="s">
        <v>249</v>
      </c>
      <c r="G49" s="230">
        <f>G48</f>
        <v>4.6118493259449216E-2</v>
      </c>
      <c r="H49" s="250">
        <f>H48</f>
        <v>36442.644803831681</v>
      </c>
    </row>
    <row r="51" spans="1:12" x14ac:dyDescent="0.25">
      <c r="A51" s="3"/>
      <c r="B51" s="3"/>
      <c r="C51" s="3"/>
      <c r="D51" s="3"/>
      <c r="E51" s="3"/>
      <c r="F51" s="3"/>
      <c r="G51" s="4"/>
      <c r="H51" s="4"/>
      <c r="I51" s="4"/>
      <c r="J51" s="4"/>
      <c r="K51" s="4"/>
      <c r="L51" s="4"/>
    </row>
    <row r="52" spans="1:12" x14ac:dyDescent="0.25">
      <c r="A52" s="44" t="s">
        <v>226</v>
      </c>
      <c r="B52" s="3"/>
      <c r="C52" s="3"/>
      <c r="D52" s="3"/>
      <c r="E52" s="3"/>
      <c r="F52" s="3"/>
      <c r="G52" s="4"/>
      <c r="H52" s="4"/>
      <c r="I52" s="4"/>
      <c r="J52" s="4"/>
      <c r="K52" s="4"/>
      <c r="L52" s="4"/>
    </row>
    <row r="54" spans="1:12" x14ac:dyDescent="0.25">
      <c r="A54" s="5" t="s">
        <v>0</v>
      </c>
      <c r="B54" s="8" t="s">
        <v>227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5">
      <c r="A56" s="6" t="s">
        <v>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A58" s="6" t="s">
        <v>479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1" t="s">
        <v>482</v>
      </c>
    </row>
    <row r="61" spans="1:12" x14ac:dyDescent="0.25">
      <c r="A61" s="5" t="s">
        <v>2</v>
      </c>
      <c r="B61" s="8" t="s">
        <v>228</v>
      </c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 t="s">
        <v>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" x14ac:dyDescent="0.25">
      <c r="A65" s="1" t="s">
        <v>477</v>
      </c>
    </row>
    <row r="66" spans="1:1" x14ac:dyDescent="0.25">
      <c r="A66" s="1" t="s">
        <v>480</v>
      </c>
    </row>
  </sheetData>
  <mergeCells count="6">
    <mergeCell ref="D48:F48"/>
    <mergeCell ref="B5:B6"/>
    <mergeCell ref="C5:C6"/>
    <mergeCell ref="D5:D6"/>
    <mergeCell ref="E5:F5"/>
    <mergeCell ref="E47:F4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9793-72DD-41FB-893F-8C61111FA076}">
  <dimension ref="A1:R63"/>
  <sheetViews>
    <sheetView zoomScale="120" zoomScaleNormal="120" workbookViewId="0"/>
  </sheetViews>
  <sheetFormatPr defaultColWidth="8.85546875" defaultRowHeight="15.75" x14ac:dyDescent="0.25"/>
  <cols>
    <col min="1" max="1" width="11.28515625" style="1" customWidth="1"/>
    <col min="2" max="2" width="23.28515625" style="1" customWidth="1"/>
    <col min="3" max="6" width="15.7109375" style="1" customWidth="1"/>
    <col min="7" max="7" width="16.7109375" style="1" customWidth="1"/>
    <col min="8" max="8" width="8.85546875" style="1" customWidth="1"/>
    <col min="9" max="16384" width="8.85546875" style="1"/>
  </cols>
  <sheetData>
    <row r="1" spans="1:18" ht="18.75" x14ac:dyDescent="0.3">
      <c r="A1" s="2" t="s">
        <v>22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4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25">
      <c r="A5" s="5" t="s">
        <v>4</v>
      </c>
      <c r="B5" s="8" t="s">
        <v>24</v>
      </c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  <c r="Q5" s="7"/>
      <c r="R5" s="7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2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 t="s">
        <v>260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A10" s="1" t="s">
        <v>258</v>
      </c>
      <c r="M10" s="7"/>
      <c r="N10" s="7"/>
    </row>
    <row r="11" spans="1:18" x14ac:dyDescent="0.25">
      <c r="A11" s="84" t="s">
        <v>270</v>
      </c>
      <c r="M11" s="7"/>
      <c r="N11" s="7"/>
    </row>
    <row r="12" spans="1:18" x14ac:dyDescent="0.25">
      <c r="A12" s="1" t="s">
        <v>259</v>
      </c>
      <c r="M12" s="7"/>
      <c r="N12" s="7"/>
    </row>
    <row r="13" spans="1:18" x14ac:dyDescent="0.25">
      <c r="M13" s="7"/>
      <c r="N13" s="7"/>
    </row>
    <row r="14" spans="1:18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8" x14ac:dyDescent="0.25">
      <c r="A15" s="8" t="s">
        <v>11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47.25" x14ac:dyDescent="0.25">
      <c r="A17" s="8"/>
      <c r="B17" s="33" t="s">
        <v>25</v>
      </c>
      <c r="C17" s="33" t="s">
        <v>26</v>
      </c>
      <c r="D17" s="33" t="s">
        <v>27</v>
      </c>
      <c r="E17" s="33" t="s">
        <v>28</v>
      </c>
      <c r="F17" s="33" t="s">
        <v>29</v>
      </c>
      <c r="G17" s="33" t="s">
        <v>30</v>
      </c>
      <c r="H17" s="8"/>
      <c r="I17" s="8"/>
      <c r="J17" s="8"/>
      <c r="K17" s="8"/>
      <c r="L17" s="8"/>
    </row>
    <row r="18" spans="1:12" x14ac:dyDescent="0.25">
      <c r="A18" s="8"/>
      <c r="B18" s="28">
        <v>2017</v>
      </c>
      <c r="C18" s="29">
        <v>78945</v>
      </c>
      <c r="D18" s="29">
        <v>52155000</v>
      </c>
      <c r="E18" s="34">
        <v>1.0669999999999999</v>
      </c>
      <c r="F18" s="29">
        <v>25428000</v>
      </c>
      <c r="G18" s="28">
        <v>1.5649999999999999</v>
      </c>
      <c r="H18" s="8"/>
      <c r="I18" s="8"/>
      <c r="J18" s="8"/>
      <c r="K18" s="8"/>
      <c r="L18" s="8"/>
    </row>
    <row r="19" spans="1:12" x14ac:dyDescent="0.25">
      <c r="A19" s="8"/>
      <c r="B19" s="28">
        <v>2018</v>
      </c>
      <c r="C19" s="29">
        <v>78248</v>
      </c>
      <c r="D19" s="29">
        <v>53621000</v>
      </c>
      <c r="E19" s="34">
        <v>1.0289999999999999</v>
      </c>
      <c r="F19" s="29">
        <v>22854000</v>
      </c>
      <c r="G19" s="28">
        <v>1.7010000000000001</v>
      </c>
      <c r="H19" s="8"/>
      <c r="I19" s="8"/>
      <c r="J19" s="8"/>
      <c r="K19" s="8"/>
      <c r="L19" s="8"/>
    </row>
    <row r="20" spans="1:12" x14ac:dyDescent="0.25">
      <c r="A20" s="8"/>
      <c r="B20" s="28">
        <v>2019</v>
      </c>
      <c r="C20" s="29">
        <v>77701</v>
      </c>
      <c r="D20" s="29">
        <v>53900000</v>
      </c>
      <c r="E20" s="34">
        <v>1.016</v>
      </c>
      <c r="F20" s="29">
        <v>20810000</v>
      </c>
      <c r="G20" s="28">
        <v>1.927</v>
      </c>
      <c r="H20" s="8"/>
      <c r="I20" s="8"/>
      <c r="J20" s="8"/>
      <c r="K20" s="8"/>
      <c r="L20" s="8"/>
    </row>
    <row r="21" spans="1:12" x14ac:dyDescent="0.25">
      <c r="A21" s="8"/>
      <c r="B21" s="28">
        <v>2020</v>
      </c>
      <c r="C21" s="29">
        <v>75377</v>
      </c>
      <c r="D21" s="29">
        <v>54236000</v>
      </c>
      <c r="E21" s="34">
        <v>0.98</v>
      </c>
      <c r="F21" s="29">
        <v>18966000</v>
      </c>
      <c r="G21" s="28">
        <v>2.262</v>
      </c>
      <c r="H21" s="8"/>
      <c r="I21" s="8"/>
      <c r="J21" s="8"/>
      <c r="K21" s="8"/>
      <c r="L21" s="8"/>
    </row>
    <row r="22" spans="1:12" x14ac:dyDescent="0.25">
      <c r="A22" s="8"/>
      <c r="B22" s="28">
        <v>2021</v>
      </c>
      <c r="C22" s="29">
        <v>77739</v>
      </c>
      <c r="D22" s="29">
        <v>55984000</v>
      </c>
      <c r="E22" s="34">
        <v>0.999</v>
      </c>
      <c r="F22" s="29">
        <v>15127000</v>
      </c>
      <c r="G22" s="28">
        <v>2.8090000000000002</v>
      </c>
      <c r="H22" s="8"/>
      <c r="I22" s="8"/>
      <c r="J22" s="8"/>
      <c r="K22" s="8"/>
      <c r="L22" s="8"/>
    </row>
    <row r="23" spans="1:12" x14ac:dyDescent="0.25">
      <c r="A23" s="8"/>
      <c r="B23" s="28">
        <v>2022</v>
      </c>
      <c r="C23" s="29">
        <v>76371</v>
      </c>
      <c r="D23" s="29">
        <v>56409000</v>
      </c>
      <c r="E23" s="34">
        <v>1.0249999999999999</v>
      </c>
      <c r="F23" s="29">
        <v>11397000</v>
      </c>
      <c r="G23" s="28">
        <v>3.831</v>
      </c>
      <c r="H23" s="8"/>
      <c r="I23" s="8"/>
      <c r="J23" s="8"/>
      <c r="K23" s="8"/>
      <c r="L23" s="8"/>
    </row>
    <row r="24" spans="1:12" x14ac:dyDescent="0.25">
      <c r="A24" s="8"/>
      <c r="B24" s="28">
        <v>2023</v>
      </c>
      <c r="C24" s="29">
        <v>75070</v>
      </c>
      <c r="D24" s="29">
        <v>56834000</v>
      </c>
      <c r="E24" s="34">
        <v>1</v>
      </c>
      <c r="F24" s="29">
        <v>7237000</v>
      </c>
      <c r="G24" s="28">
        <v>6.3689999999999998</v>
      </c>
      <c r="H24" s="8"/>
      <c r="I24" s="8"/>
      <c r="J24" s="8"/>
      <c r="K24" s="8"/>
      <c r="L24" s="8"/>
    </row>
    <row r="25" spans="1:12" x14ac:dyDescent="0.25">
      <c r="A25" s="8"/>
      <c r="B25" s="30" t="s">
        <v>31</v>
      </c>
      <c r="C25" s="31">
        <v>539452</v>
      </c>
      <c r="D25" s="31">
        <v>383139000</v>
      </c>
      <c r="E25" s="32"/>
      <c r="F25" s="31">
        <v>121819000</v>
      </c>
      <c r="G25" s="32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35" t="s">
        <v>32</v>
      </c>
      <c r="C27" s="8"/>
      <c r="D27" s="36">
        <v>0.03</v>
      </c>
      <c r="E27" s="8"/>
      <c r="F27" s="8"/>
      <c r="G27" s="8"/>
      <c r="H27" s="8"/>
      <c r="I27" s="8"/>
      <c r="J27" s="8"/>
      <c r="K27" s="8"/>
      <c r="L27" s="8"/>
    </row>
    <row r="29" spans="1:12" x14ac:dyDescent="0.25">
      <c r="A29" s="5" t="s">
        <v>5</v>
      </c>
      <c r="B29" s="261" t="s">
        <v>234</v>
      </c>
      <c r="C29" s="261"/>
      <c r="D29" s="261"/>
      <c r="E29" s="261"/>
      <c r="F29" s="261"/>
      <c r="G29" s="261"/>
      <c r="H29" s="261"/>
      <c r="I29" s="261"/>
      <c r="J29" s="261"/>
      <c r="K29" s="261"/>
      <c r="L29" s="261"/>
    </row>
    <row r="30" spans="1:12" x14ac:dyDescent="0.25">
      <c r="A30" s="5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6" t="s">
        <v>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 t="s">
        <v>271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6" spans="1:12" x14ac:dyDescent="0.25">
      <c r="A36" s="5" t="s">
        <v>0</v>
      </c>
      <c r="B36" s="8" t="s">
        <v>40</v>
      </c>
      <c r="C36" s="8"/>
      <c r="D36" s="8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5"/>
      <c r="B37" s="8"/>
      <c r="C37" s="8"/>
      <c r="D37" s="8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5"/>
      <c r="B38" s="37" t="s">
        <v>38</v>
      </c>
      <c r="C38" s="38" t="s">
        <v>36</v>
      </c>
      <c r="D38" s="8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5"/>
      <c r="B39" s="37"/>
      <c r="C39" s="39"/>
      <c r="D39" s="8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5"/>
      <c r="B40" s="37" t="s">
        <v>39</v>
      </c>
      <c r="C40" s="38" t="s">
        <v>37</v>
      </c>
      <c r="D40" s="8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A42" s="6" t="s">
        <v>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47.25" x14ac:dyDescent="0.25">
      <c r="A44" s="93" t="s">
        <v>25</v>
      </c>
      <c r="B44" s="93" t="s">
        <v>263</v>
      </c>
      <c r="C44" s="93" t="s">
        <v>264</v>
      </c>
      <c r="D44" s="93" t="s">
        <v>261</v>
      </c>
      <c r="E44" s="93" t="s">
        <v>262</v>
      </c>
      <c r="G44" s="6"/>
      <c r="H44" s="6"/>
      <c r="I44" s="6"/>
      <c r="J44" s="6"/>
      <c r="K44" s="6"/>
      <c r="L44" s="6"/>
    </row>
    <row r="45" spans="1:12" x14ac:dyDescent="0.25">
      <c r="A45" s="79">
        <f t="shared" ref="A45:A49" si="0">A46-1</f>
        <v>2017</v>
      </c>
      <c r="B45" s="100">
        <f>F18*G18</f>
        <v>39794820</v>
      </c>
      <c r="C45" s="92">
        <f t="shared" ref="C45:C49" si="1">(1+$D$27)*C46</f>
        <v>1.1940522965290001</v>
      </c>
      <c r="D45" s="108">
        <f t="shared" ref="D45:D50" si="2">(B45*C45)/(D18*E18)</f>
        <v>0.85386561254824622</v>
      </c>
      <c r="E45" s="106">
        <f t="shared" ref="E45:E50" si="3">(B45*C45)/C18</f>
        <v>601.9012757104083</v>
      </c>
      <c r="G45" s="6"/>
      <c r="H45" s="6"/>
      <c r="I45" s="6"/>
      <c r="J45" s="6"/>
      <c r="K45" s="6"/>
      <c r="L45" s="6"/>
    </row>
    <row r="46" spans="1:12" x14ac:dyDescent="0.25">
      <c r="A46" s="79">
        <f t="shared" si="0"/>
        <v>2018</v>
      </c>
      <c r="B46" s="100">
        <f t="shared" ref="B46:B51" si="4">F19*G19</f>
        <v>38874654</v>
      </c>
      <c r="C46" s="92">
        <f t="shared" si="1"/>
        <v>1.1592740743000001</v>
      </c>
      <c r="D46" s="108">
        <f t="shared" si="2"/>
        <v>0.816774887244614</v>
      </c>
      <c r="E46" s="106">
        <f t="shared" si="3"/>
        <v>575.9428807072743</v>
      </c>
      <c r="G46" s="6"/>
      <c r="H46" s="6"/>
      <c r="I46" s="6"/>
      <c r="J46" s="6"/>
      <c r="K46" s="6"/>
      <c r="L46" s="6"/>
    </row>
    <row r="47" spans="1:12" x14ac:dyDescent="0.25">
      <c r="A47" s="79">
        <f t="shared" si="0"/>
        <v>2019</v>
      </c>
      <c r="B47" s="100">
        <f t="shared" si="4"/>
        <v>40100870</v>
      </c>
      <c r="C47" s="92">
        <f t="shared" si="1"/>
        <v>1.1255088100000001</v>
      </c>
      <c r="D47" s="108">
        <f t="shared" si="2"/>
        <v>0.82417648740129557</v>
      </c>
      <c r="E47" s="106">
        <f t="shared" si="3"/>
        <v>580.86617255459657</v>
      </c>
      <c r="G47" s="6"/>
      <c r="H47" s="6"/>
      <c r="I47" s="6"/>
      <c r="J47" s="6"/>
      <c r="K47" s="6"/>
      <c r="L47" s="6"/>
    </row>
    <row r="48" spans="1:12" x14ac:dyDescent="0.25">
      <c r="A48" s="79">
        <f t="shared" si="0"/>
        <v>2020</v>
      </c>
      <c r="B48" s="100">
        <f t="shared" si="4"/>
        <v>42901092</v>
      </c>
      <c r="C48" s="92">
        <f t="shared" si="1"/>
        <v>1.092727</v>
      </c>
      <c r="D48" s="108">
        <f t="shared" si="2"/>
        <v>0.88199534532158019</v>
      </c>
      <c r="E48" s="106">
        <f t="shared" si="3"/>
        <v>621.92952170932779</v>
      </c>
      <c r="G48" s="6"/>
      <c r="H48" s="6"/>
      <c r="I48" s="6"/>
      <c r="J48" s="6"/>
      <c r="K48" s="6"/>
      <c r="L48" s="6"/>
    </row>
    <row r="49" spans="1:12" x14ac:dyDescent="0.25">
      <c r="A49" s="79">
        <f t="shared" si="0"/>
        <v>2021</v>
      </c>
      <c r="B49" s="100">
        <f t="shared" si="4"/>
        <v>42491743</v>
      </c>
      <c r="C49" s="92">
        <f t="shared" si="1"/>
        <v>1.0609</v>
      </c>
      <c r="D49" s="108">
        <f t="shared" si="2"/>
        <v>0.80602698562917019</v>
      </c>
      <c r="E49" s="106">
        <f t="shared" si="3"/>
        <v>579.88255764416829</v>
      </c>
      <c r="G49" s="6"/>
      <c r="H49" s="6"/>
      <c r="I49" s="6"/>
      <c r="J49" s="6"/>
      <c r="K49" s="6"/>
      <c r="L49" s="6"/>
    </row>
    <row r="50" spans="1:12" x14ac:dyDescent="0.25">
      <c r="A50" s="79">
        <f>A51-1</f>
        <v>2022</v>
      </c>
      <c r="B50" s="100">
        <f t="shared" si="4"/>
        <v>43661907</v>
      </c>
      <c r="C50" s="92">
        <f>(1+$D$27)*C51</f>
        <v>1.03</v>
      </c>
      <c r="D50" s="108">
        <f t="shared" si="2"/>
        <v>0.77779949852319896</v>
      </c>
      <c r="E50" s="106">
        <f t="shared" si="3"/>
        <v>588.85917704364226</v>
      </c>
      <c r="G50" s="6"/>
      <c r="H50" s="6"/>
      <c r="I50" s="6"/>
      <c r="J50" s="6"/>
      <c r="K50" s="6"/>
      <c r="L50" s="6"/>
    </row>
    <row r="51" spans="1:12" x14ac:dyDescent="0.25">
      <c r="A51" s="80">
        <v>2023</v>
      </c>
      <c r="B51" s="101">
        <f t="shared" si="4"/>
        <v>46092453</v>
      </c>
      <c r="C51" s="102">
        <v>1</v>
      </c>
      <c r="D51" s="109"/>
      <c r="E51" s="107"/>
      <c r="G51" s="6"/>
      <c r="H51" s="6"/>
      <c r="I51" s="6"/>
      <c r="J51" s="6"/>
      <c r="K51" s="6"/>
      <c r="L51" s="6"/>
    </row>
    <row r="52" spans="1:12" x14ac:dyDescent="0.25">
      <c r="A52" s="79"/>
      <c r="B52" s="103"/>
      <c r="C52" s="105" t="s">
        <v>238</v>
      </c>
      <c r="D52" s="110">
        <f>AVERAGE(D45:D50)</f>
        <v>0.82677313611135084</v>
      </c>
      <c r="E52" s="106">
        <f>AVERAGE(E45:E50)</f>
        <v>591.56359756156951</v>
      </c>
      <c r="G52" s="6"/>
      <c r="H52" s="6"/>
      <c r="I52" s="6"/>
      <c r="J52" s="6"/>
      <c r="K52" s="6"/>
      <c r="L52" s="6"/>
    </row>
    <row r="53" spans="1:12" x14ac:dyDescent="0.25">
      <c r="A53" s="6"/>
      <c r="B53" s="6"/>
      <c r="G53" s="6"/>
      <c r="H53" s="6"/>
      <c r="I53" s="6"/>
      <c r="J53" s="6"/>
      <c r="K53" s="6"/>
      <c r="L53" s="6"/>
    </row>
    <row r="54" spans="1:12" x14ac:dyDescent="0.25">
      <c r="A54" s="6"/>
      <c r="B54" s="6"/>
      <c r="C54" s="6"/>
      <c r="D54" s="112" t="s">
        <v>266</v>
      </c>
      <c r="E54" s="112" t="s">
        <v>267</v>
      </c>
      <c r="G54" s="6"/>
      <c r="H54" s="6"/>
      <c r="I54" s="6"/>
      <c r="J54" s="6"/>
      <c r="K54" s="6"/>
      <c r="L54" s="6"/>
    </row>
    <row r="55" spans="1:12" x14ac:dyDescent="0.25">
      <c r="A55" s="6"/>
      <c r="B55" s="6"/>
      <c r="C55" s="105" t="s">
        <v>265</v>
      </c>
      <c r="D55" s="100">
        <f>D52*D24</f>
        <v>46988824.417752512</v>
      </c>
      <c r="E55" s="100">
        <f>E52*C24</f>
        <v>44408679.26894702</v>
      </c>
      <c r="G55" s="6"/>
      <c r="H55" s="6"/>
      <c r="I55" s="6"/>
      <c r="J55" s="6"/>
      <c r="K55" s="6"/>
      <c r="L55" s="6"/>
    </row>
    <row r="57" spans="1:12" x14ac:dyDescent="0.25">
      <c r="A57" s="5" t="s">
        <v>2</v>
      </c>
      <c r="B57" s="8" t="s">
        <v>41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6" t="s">
        <v>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90"/>
      <c r="C60" s="99" t="s">
        <v>268</v>
      </c>
      <c r="D60" s="98">
        <f>1/G24</f>
        <v>0.15701051970482022</v>
      </c>
    </row>
    <row r="61" spans="1:12" x14ac:dyDescent="0.25">
      <c r="A61" s="90"/>
      <c r="C61" s="99" t="s">
        <v>269</v>
      </c>
      <c r="D61" s="98">
        <f>1/G23</f>
        <v>0.26102845210127906</v>
      </c>
    </row>
    <row r="62" spans="1:12" x14ac:dyDescent="0.25">
      <c r="A62" s="90"/>
      <c r="C62" s="99" t="s">
        <v>272</v>
      </c>
      <c r="D62" s="98">
        <f>D61-D60</f>
        <v>0.10401793239645885</v>
      </c>
    </row>
    <row r="63" spans="1:12" x14ac:dyDescent="0.25">
      <c r="A63" s="90"/>
      <c r="C63" s="99" t="s">
        <v>273</v>
      </c>
      <c r="D63" s="97">
        <f>D62*E55</f>
        <v>4619298.9980133548</v>
      </c>
    </row>
  </sheetData>
  <mergeCells count="1">
    <mergeCell ref="B29:L3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0A2D-D071-4BAA-A4A5-4FEE39A6F7C7}">
  <dimension ref="A1:R71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5" width="16.7109375" style="1" customWidth="1"/>
    <col min="6" max="6" width="19.42578125" style="1" customWidth="1"/>
    <col min="7" max="7" width="8.85546875" style="1"/>
    <col min="8" max="8" width="8.85546875" style="1" customWidth="1"/>
    <col min="9" max="16384" width="8.85546875" style="1"/>
  </cols>
  <sheetData>
    <row r="1" spans="1:18" ht="18.75" x14ac:dyDescent="0.3">
      <c r="A1" s="2" t="s">
        <v>43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263" t="s">
        <v>42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3"/>
    </row>
    <row r="4" spans="1:18" x14ac:dyDescent="0.2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8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8" x14ac:dyDescent="0.25">
      <c r="A6" s="5" t="s">
        <v>4</v>
      </c>
      <c r="B6" s="8" t="s">
        <v>44</v>
      </c>
      <c r="C6" s="4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8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A10" s="252" t="s">
        <v>483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8" x14ac:dyDescent="0.25">
      <c r="A11" s="253" t="s">
        <v>484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8" x14ac:dyDescent="0.25">
      <c r="A13" s="6" t="s">
        <v>275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8" x14ac:dyDescent="0.25">
      <c r="A14" s="111" t="s">
        <v>279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8" x14ac:dyDescent="0.25">
      <c r="A15" s="111" t="s">
        <v>280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8" x14ac:dyDescent="0.25">
      <c r="A16" s="111" t="s">
        <v>276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x14ac:dyDescent="0.25">
      <c r="A17" s="111" t="s">
        <v>277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x14ac:dyDescent="0.25">
      <c r="A18" s="84" t="s">
        <v>278</v>
      </c>
      <c r="M18" s="7"/>
      <c r="N18" s="7"/>
    </row>
    <row r="19" spans="1:14" x14ac:dyDescent="0.25">
      <c r="A19" s="84" t="s">
        <v>274</v>
      </c>
      <c r="M19" s="7"/>
      <c r="N19" s="7"/>
    </row>
    <row r="20" spans="1:14" x14ac:dyDescent="0.25">
      <c r="M20" s="7"/>
      <c r="N20" s="7"/>
    </row>
    <row r="21" spans="1:1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4" x14ac:dyDescent="0.25">
      <c r="A22" s="263" t="s">
        <v>45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8"/>
    </row>
    <row r="23" spans="1:14" x14ac:dyDescent="0.25">
      <c r="A23" s="263"/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8"/>
    </row>
    <row r="24" spans="1:14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4" ht="63" x14ac:dyDescent="0.25">
      <c r="A25" s="8"/>
      <c r="B25" s="33" t="s">
        <v>25</v>
      </c>
      <c r="C25" s="33" t="s">
        <v>46</v>
      </c>
      <c r="D25" s="33" t="s">
        <v>47</v>
      </c>
      <c r="E25" s="8"/>
      <c r="F25" s="8"/>
      <c r="G25" s="8"/>
      <c r="H25" s="8"/>
      <c r="I25" s="8"/>
      <c r="J25" s="8"/>
      <c r="K25" s="8"/>
      <c r="L25" s="8"/>
    </row>
    <row r="26" spans="1:14" x14ac:dyDescent="0.25">
      <c r="A26" s="8"/>
      <c r="B26" s="21">
        <v>2021</v>
      </c>
      <c r="C26" s="22">
        <v>4298400</v>
      </c>
      <c r="D26" s="22">
        <v>4483200</v>
      </c>
      <c r="E26" s="8"/>
      <c r="F26" s="8"/>
      <c r="G26" s="8"/>
      <c r="H26" s="8"/>
      <c r="I26" s="8"/>
      <c r="J26" s="8"/>
      <c r="K26" s="8"/>
      <c r="L26" s="8"/>
    </row>
    <row r="27" spans="1:14" x14ac:dyDescent="0.25">
      <c r="A27" s="8"/>
      <c r="B27" s="21">
        <v>2022</v>
      </c>
      <c r="C27" s="22">
        <v>4368900</v>
      </c>
      <c r="D27" s="22">
        <v>4607900</v>
      </c>
      <c r="E27" s="8"/>
      <c r="F27" s="8"/>
      <c r="G27" s="8"/>
      <c r="H27" s="8"/>
      <c r="I27" s="8"/>
      <c r="J27" s="8"/>
      <c r="K27" s="8"/>
      <c r="L27" s="8"/>
    </row>
    <row r="28" spans="1:14" x14ac:dyDescent="0.25">
      <c r="A28" s="8"/>
      <c r="B28" s="21">
        <v>2023</v>
      </c>
      <c r="C28" s="22">
        <v>4890200</v>
      </c>
      <c r="D28" s="22">
        <v>5097900</v>
      </c>
      <c r="E28" s="8"/>
      <c r="F28" s="8"/>
      <c r="G28" s="8"/>
      <c r="H28" s="8"/>
      <c r="I28" s="8"/>
      <c r="J28" s="8"/>
      <c r="K28" s="8"/>
      <c r="L28" s="8"/>
    </row>
    <row r="29" spans="1:14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4" x14ac:dyDescent="0.25">
      <c r="A30" s="8"/>
      <c r="B30" s="260" t="s">
        <v>48</v>
      </c>
      <c r="C30" s="260"/>
      <c r="D30" s="20" t="s">
        <v>49</v>
      </c>
      <c r="E30" s="20" t="s">
        <v>50</v>
      </c>
      <c r="F30" s="8"/>
      <c r="G30" s="8"/>
      <c r="H30" s="8"/>
      <c r="I30" s="8"/>
      <c r="J30" s="8"/>
      <c r="K30" s="8"/>
      <c r="L30" s="8"/>
    </row>
    <row r="31" spans="1:14" x14ac:dyDescent="0.25">
      <c r="A31" s="8"/>
      <c r="B31" s="262" t="s">
        <v>51</v>
      </c>
      <c r="C31" s="262"/>
      <c r="D31" s="41">
        <v>7.0000000000000007E-2</v>
      </c>
      <c r="E31" s="41">
        <v>8.5999999999999993E-2</v>
      </c>
      <c r="F31" s="8"/>
      <c r="G31" s="8"/>
      <c r="H31" s="8"/>
      <c r="I31" s="8"/>
      <c r="J31" s="8"/>
      <c r="K31" s="8"/>
      <c r="L31" s="8"/>
    </row>
    <row r="32" spans="1:14" x14ac:dyDescent="0.25">
      <c r="A32" s="8"/>
      <c r="B32" s="262" t="s">
        <v>52</v>
      </c>
      <c r="C32" s="262"/>
      <c r="D32" s="41">
        <v>5.5E-2</v>
      </c>
      <c r="E32" s="41">
        <v>0.06</v>
      </c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262" t="s">
        <v>53</v>
      </c>
      <c r="C33" s="262"/>
      <c r="D33" s="40">
        <v>0.7</v>
      </c>
      <c r="E33" s="40">
        <v>0.5</v>
      </c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262" t="s">
        <v>54</v>
      </c>
      <c r="C34" s="262"/>
      <c r="D34" s="41">
        <v>0.06</v>
      </c>
      <c r="E34" s="41">
        <v>7.0000000000000007E-2</v>
      </c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262" t="s">
        <v>55</v>
      </c>
      <c r="C35" s="262"/>
      <c r="D35" s="41">
        <v>0.04</v>
      </c>
      <c r="E35" s="41">
        <v>0.05</v>
      </c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35" t="s">
        <v>56</v>
      </c>
      <c r="C37" s="8"/>
      <c r="D37" s="8"/>
      <c r="E37" s="42">
        <v>32</v>
      </c>
      <c r="F37" s="8" t="s">
        <v>57</v>
      </c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 t="s">
        <v>58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31.5" x14ac:dyDescent="0.25">
      <c r="A41" s="8"/>
      <c r="B41" s="33" t="s">
        <v>25</v>
      </c>
      <c r="C41" s="33" t="s">
        <v>229</v>
      </c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21">
        <v>2021</v>
      </c>
      <c r="C42" s="78">
        <v>1.196</v>
      </c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21">
        <v>2022</v>
      </c>
      <c r="C43" s="78">
        <v>1.165</v>
      </c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21">
        <v>2023</v>
      </c>
      <c r="C44" s="78">
        <v>1.1850000000000001</v>
      </c>
      <c r="D44" s="8"/>
      <c r="E44" s="8"/>
      <c r="F44" s="8"/>
      <c r="G44" s="8"/>
      <c r="H44" s="8"/>
      <c r="I44" s="8"/>
      <c r="J44" s="8"/>
      <c r="K44" s="8"/>
      <c r="L44" s="8"/>
    </row>
    <row r="46" spans="1:12" x14ac:dyDescent="0.25">
      <c r="A46" s="5" t="s">
        <v>5</v>
      </c>
      <c r="B46" s="8" t="s">
        <v>59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5">
      <c r="A48" s="6" t="s">
        <v>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1" t="s">
        <v>291</v>
      </c>
      <c r="D50" s="113">
        <f>D31*D33+(1-D33)*D34</f>
        <v>6.7000000000000004E-2</v>
      </c>
      <c r="F50" s="113"/>
      <c r="G50" s="6"/>
      <c r="H50" s="6"/>
      <c r="I50" s="6"/>
      <c r="J50" s="6"/>
      <c r="K50" s="6"/>
      <c r="L50" s="6"/>
    </row>
    <row r="51" spans="1:12" x14ac:dyDescent="0.25">
      <c r="A51" s="1" t="s">
        <v>292</v>
      </c>
      <c r="D51" s="113">
        <f>E31*E33+(1-E33)*E34</f>
        <v>7.8E-2</v>
      </c>
      <c r="F51"/>
      <c r="G51" s="6"/>
      <c r="H51" s="6"/>
      <c r="I51" s="6"/>
      <c r="J51" s="6"/>
      <c r="K51" s="6"/>
      <c r="L51" s="6"/>
    </row>
    <row r="52" spans="1:12" x14ac:dyDescent="0.25">
      <c r="E52" s="114"/>
      <c r="G52" s="6"/>
      <c r="H52" s="6"/>
      <c r="I52" s="6"/>
      <c r="J52" s="6"/>
      <c r="K52" s="6"/>
      <c r="L52" s="6"/>
    </row>
    <row r="53" spans="1:12" x14ac:dyDescent="0.25">
      <c r="A53" s="115"/>
      <c r="B53" s="115"/>
      <c r="C53" s="121" t="s">
        <v>283</v>
      </c>
      <c r="D53" s="121"/>
      <c r="E53" s="121" t="s">
        <v>284</v>
      </c>
      <c r="F53" s="121"/>
      <c r="G53" s="6"/>
      <c r="H53" s="6"/>
      <c r="I53" s="6"/>
      <c r="J53" s="6"/>
      <c r="K53" s="6"/>
      <c r="L53" s="6"/>
    </row>
    <row r="54" spans="1:12" ht="31.5" x14ac:dyDescent="0.25">
      <c r="A54" s="122" t="s">
        <v>25</v>
      </c>
      <c r="B54" s="122" t="s">
        <v>285</v>
      </c>
      <c r="C54" s="123">
        <f>D50</f>
        <v>6.7000000000000004E-2</v>
      </c>
      <c r="D54" s="123">
        <f>D51</f>
        <v>7.8E-2</v>
      </c>
      <c r="E54" s="120" t="s">
        <v>49</v>
      </c>
      <c r="F54" s="120" t="s">
        <v>282</v>
      </c>
      <c r="G54" s="6"/>
      <c r="H54" s="6"/>
      <c r="I54" s="6"/>
      <c r="J54" s="6"/>
      <c r="K54" s="6"/>
      <c r="L54" s="6"/>
    </row>
    <row r="55" spans="1:12" x14ac:dyDescent="0.25">
      <c r="A55" s="116">
        <f>B26</f>
        <v>2021</v>
      </c>
      <c r="B55" s="117">
        <f>B56+1</f>
        <v>4.6666666666666661</v>
      </c>
      <c r="C55" s="117">
        <f t="shared" ref="C55:D57" si="0">(1+C$54)^$B55</f>
        <v>1.353424261277882</v>
      </c>
      <c r="D55" s="117">
        <f t="shared" si="0"/>
        <v>1.4197794437855074</v>
      </c>
      <c r="E55" s="118">
        <f t="shared" ref="E55:F57" si="1">C26*C55</f>
        <v>5817558.8446768476</v>
      </c>
      <c r="F55" s="118">
        <f t="shared" si="1"/>
        <v>6365155.2023791866</v>
      </c>
      <c r="G55" s="6"/>
      <c r="H55" s="6"/>
      <c r="I55" s="6"/>
      <c r="J55" s="6"/>
      <c r="K55" s="6"/>
      <c r="L55" s="6"/>
    </row>
    <row r="56" spans="1:12" x14ac:dyDescent="0.25">
      <c r="A56" s="119">
        <f t="shared" ref="A56:A57" si="2">B27</f>
        <v>2022</v>
      </c>
      <c r="B56" s="117">
        <f>B57+1</f>
        <v>3.6666666666666665</v>
      </c>
      <c r="C56" s="117">
        <f t="shared" si="0"/>
        <v>1.2684388578049504</v>
      </c>
      <c r="D56" s="117">
        <f t="shared" si="0"/>
        <v>1.3170495767954613</v>
      </c>
      <c r="E56" s="118">
        <f t="shared" si="1"/>
        <v>5541682.5258640479</v>
      </c>
      <c r="F56" s="118">
        <f t="shared" si="1"/>
        <v>6068832.7449158058</v>
      </c>
      <c r="G56" s="6"/>
      <c r="H56" s="6"/>
      <c r="I56" s="6"/>
      <c r="J56" s="6"/>
      <c r="K56" s="6"/>
      <c r="L56" s="6"/>
    </row>
    <row r="57" spans="1:12" x14ac:dyDescent="0.25">
      <c r="A57" s="119">
        <f t="shared" si="2"/>
        <v>2023</v>
      </c>
      <c r="B57" s="117">
        <f>E37/12</f>
        <v>2.6666666666666665</v>
      </c>
      <c r="C57" s="117">
        <f t="shared" si="0"/>
        <v>1.1887899323382853</v>
      </c>
      <c r="D57" s="117">
        <f t="shared" si="0"/>
        <v>1.2217528541701868</v>
      </c>
      <c r="E57" s="118">
        <f t="shared" si="1"/>
        <v>5813420.5271206833</v>
      </c>
      <c r="F57" s="118">
        <f t="shared" si="1"/>
        <v>6228373.8752741953</v>
      </c>
      <c r="G57" s="6"/>
      <c r="H57" s="6"/>
      <c r="I57" s="6"/>
      <c r="J57" s="6"/>
      <c r="K57" s="6"/>
      <c r="L57" s="6"/>
    </row>
    <row r="58" spans="1:12" x14ac:dyDescent="0.25">
      <c r="A58" s="96"/>
      <c r="G58" s="6"/>
      <c r="H58" s="6"/>
      <c r="I58" s="6"/>
      <c r="J58" s="6"/>
      <c r="K58" s="6"/>
      <c r="L58" s="6"/>
    </row>
    <row r="59" spans="1:12" ht="47.25" x14ac:dyDescent="0.25">
      <c r="A59" s="120" t="s">
        <v>25</v>
      </c>
      <c r="B59" s="120" t="s">
        <v>286</v>
      </c>
      <c r="C59" s="120" t="s">
        <v>281</v>
      </c>
      <c r="D59" s="120" t="s">
        <v>287</v>
      </c>
      <c r="G59" s="6"/>
      <c r="H59" s="6"/>
      <c r="I59" s="6"/>
      <c r="J59" s="6"/>
      <c r="K59" s="6"/>
      <c r="L59" s="6"/>
    </row>
    <row r="60" spans="1:12" x14ac:dyDescent="0.25">
      <c r="A60" s="119">
        <f>A55</f>
        <v>2021</v>
      </c>
      <c r="B60" s="117">
        <f>F55/E55</f>
        <v>1.0941282026228918</v>
      </c>
      <c r="C60" s="124">
        <f>C42</f>
        <v>1.196</v>
      </c>
      <c r="D60" s="117">
        <f>B60*C60</f>
        <v>1.3085773303369785</v>
      </c>
      <c r="G60" s="6"/>
      <c r="H60" s="6"/>
      <c r="I60" s="6"/>
      <c r="J60" s="6"/>
      <c r="K60" s="6"/>
      <c r="L60" s="6"/>
    </row>
    <row r="61" spans="1:12" x14ac:dyDescent="0.25">
      <c r="A61" s="119">
        <f>A56</f>
        <v>2022</v>
      </c>
      <c r="B61" s="117">
        <f>F56/E56</f>
        <v>1.0951245793297344</v>
      </c>
      <c r="C61" s="119">
        <f t="shared" ref="C61:C62" si="3">C43</f>
        <v>1.165</v>
      </c>
      <c r="D61" s="117">
        <f t="shared" ref="D61:D62" si="4">B61*C61</f>
        <v>1.2758201349191407</v>
      </c>
      <c r="G61" s="6"/>
      <c r="H61" s="6"/>
      <c r="I61" s="6"/>
      <c r="J61" s="6"/>
      <c r="K61" s="6"/>
      <c r="L61" s="6"/>
    </row>
    <row r="62" spans="1:12" x14ac:dyDescent="0.25">
      <c r="A62" s="119">
        <f>A57</f>
        <v>2023</v>
      </c>
      <c r="B62" s="117">
        <f>F57/E57</f>
        <v>1.071378519103801</v>
      </c>
      <c r="C62" s="119">
        <f t="shared" si="3"/>
        <v>1.1850000000000001</v>
      </c>
      <c r="D62" s="117">
        <f t="shared" si="4"/>
        <v>1.2695835451380042</v>
      </c>
      <c r="G62" s="6"/>
      <c r="H62" s="6"/>
      <c r="I62" s="6"/>
      <c r="J62" s="6"/>
      <c r="K62" s="6"/>
      <c r="L62" s="6"/>
    </row>
    <row r="64" spans="1:12" x14ac:dyDescent="0.25">
      <c r="A64" s="5" t="s">
        <v>0</v>
      </c>
      <c r="B64" s="8" t="s">
        <v>60</v>
      </c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5">
      <c r="A66" s="6" t="s">
        <v>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8" spans="1:12" x14ac:dyDescent="0.25">
      <c r="A68" s="6" t="s">
        <v>288</v>
      </c>
      <c r="C68" s="104">
        <f>AVERAGE(D61:D62)</f>
        <v>1.2727018400285726</v>
      </c>
    </row>
    <row r="69" spans="1:12" x14ac:dyDescent="0.25">
      <c r="A69" s="6" t="s">
        <v>293</v>
      </c>
      <c r="B69" s="6"/>
    </row>
    <row r="70" spans="1:12" x14ac:dyDescent="0.25">
      <c r="A70" s="111" t="s">
        <v>289</v>
      </c>
      <c r="B70" s="6"/>
    </row>
    <row r="71" spans="1:12" x14ac:dyDescent="0.25">
      <c r="A71" s="111" t="s">
        <v>290</v>
      </c>
      <c r="B71" s="6"/>
    </row>
  </sheetData>
  <mergeCells count="8">
    <mergeCell ref="B33:C33"/>
    <mergeCell ref="B34:C34"/>
    <mergeCell ref="B35:C35"/>
    <mergeCell ref="A3:K4"/>
    <mergeCell ref="A22:K23"/>
    <mergeCell ref="B30:C30"/>
    <mergeCell ref="B31:C31"/>
    <mergeCell ref="B32:C3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38541-41C4-4CB5-9C67-533F0B4C841A}">
  <dimension ref="A1:R124"/>
  <sheetViews>
    <sheetView zoomScale="120" zoomScaleNormal="120" workbookViewId="0"/>
  </sheetViews>
  <sheetFormatPr defaultColWidth="8.85546875" defaultRowHeight="15.75" x14ac:dyDescent="0.25"/>
  <cols>
    <col min="1" max="1" width="14.140625" style="1" customWidth="1"/>
    <col min="2" max="5" width="14.7109375" style="1" customWidth="1"/>
    <col min="6" max="8" width="12.7109375" style="1" customWidth="1"/>
    <col min="9" max="16384" width="8.85546875" style="1"/>
  </cols>
  <sheetData>
    <row r="1" spans="1:12" ht="18.75" x14ac:dyDescent="0.3">
      <c r="A1" s="2" t="s">
        <v>61</v>
      </c>
      <c r="B1" s="4"/>
      <c r="C1" s="8" t="s">
        <v>12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4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9"/>
      <c r="B4" s="35" t="s">
        <v>63</v>
      </c>
      <c r="C4" s="4"/>
      <c r="D4" s="4"/>
      <c r="E4" s="4"/>
      <c r="F4" s="4"/>
      <c r="G4" s="4"/>
      <c r="H4" s="8"/>
      <c r="I4" s="8"/>
      <c r="J4" s="8"/>
      <c r="K4" s="8"/>
      <c r="L4" s="8"/>
    </row>
    <row r="5" spans="1:12" x14ac:dyDescent="0.25">
      <c r="A5" s="9"/>
      <c r="B5" s="35" t="s">
        <v>64</v>
      </c>
      <c r="C5" s="4"/>
      <c r="D5" s="4"/>
      <c r="E5" s="4"/>
      <c r="F5" s="4"/>
      <c r="G5" s="4"/>
      <c r="H5" s="8"/>
      <c r="I5" s="8"/>
      <c r="J5" s="8"/>
      <c r="K5" s="8"/>
      <c r="L5" s="8"/>
    </row>
    <row r="6" spans="1:12" x14ac:dyDescent="0.25">
      <c r="A6" s="9"/>
      <c r="B6" s="35" t="s">
        <v>70</v>
      </c>
      <c r="C6" s="4"/>
      <c r="D6" s="42">
        <v>120</v>
      </c>
      <c r="E6" s="38" t="s">
        <v>71</v>
      </c>
      <c r="F6" s="4"/>
      <c r="G6" s="4"/>
      <c r="H6" s="8"/>
      <c r="I6" s="8"/>
      <c r="J6" s="8"/>
      <c r="K6" s="8"/>
      <c r="L6" s="8"/>
    </row>
    <row r="7" spans="1:12" x14ac:dyDescent="0.25">
      <c r="A7" s="9"/>
      <c r="B7" s="35" t="s">
        <v>65</v>
      </c>
      <c r="C7" s="4"/>
      <c r="D7" s="4"/>
      <c r="E7" s="4"/>
      <c r="F7" s="4"/>
      <c r="G7" s="4"/>
      <c r="H7" s="8"/>
      <c r="I7" s="8"/>
      <c r="J7" s="8"/>
      <c r="K7" s="8"/>
      <c r="L7" s="8"/>
    </row>
    <row r="8" spans="1:12" x14ac:dyDescent="0.25">
      <c r="A8" s="4"/>
      <c r="B8" s="35" t="s">
        <v>66</v>
      </c>
      <c r="C8" s="4"/>
      <c r="D8" s="4"/>
      <c r="E8" s="4"/>
      <c r="F8" s="4"/>
      <c r="G8" s="4"/>
      <c r="H8" s="8"/>
      <c r="I8" s="8"/>
      <c r="J8" s="8"/>
      <c r="K8" s="8"/>
      <c r="L8" s="8"/>
    </row>
    <row r="9" spans="1:12" x14ac:dyDescent="0.25">
      <c r="A9" s="4"/>
      <c r="B9" s="35" t="s">
        <v>67</v>
      </c>
      <c r="C9" s="4"/>
      <c r="D9" s="4"/>
      <c r="E9" s="4"/>
      <c r="F9" s="4"/>
      <c r="G9" s="4"/>
      <c r="H9" s="8"/>
      <c r="I9" s="8"/>
      <c r="J9" s="8"/>
      <c r="K9" s="8"/>
      <c r="L9" s="8"/>
    </row>
    <row r="10" spans="1:12" x14ac:dyDescent="0.25">
      <c r="A10" s="9"/>
      <c r="B10" s="35" t="s">
        <v>68</v>
      </c>
      <c r="C10" s="4"/>
      <c r="D10" s="4"/>
      <c r="E10" s="4"/>
      <c r="F10" s="4"/>
      <c r="G10" s="4"/>
      <c r="H10" s="8"/>
      <c r="I10" s="8"/>
      <c r="J10" s="8"/>
      <c r="K10" s="8"/>
      <c r="L10" s="8"/>
    </row>
    <row r="11" spans="1:12" x14ac:dyDescent="0.25">
      <c r="A11" s="4"/>
      <c r="B11" s="4"/>
      <c r="C11" s="4"/>
      <c r="D11" s="4"/>
      <c r="E11" s="4"/>
      <c r="F11" s="4"/>
      <c r="G11" s="4"/>
      <c r="H11" s="8"/>
      <c r="I11" s="8"/>
      <c r="J11" s="8"/>
      <c r="K11" s="8"/>
      <c r="L11" s="8"/>
    </row>
    <row r="12" spans="1:12" ht="31.5" x14ac:dyDescent="0.25">
      <c r="A12" s="4"/>
      <c r="B12" s="33" t="s">
        <v>69</v>
      </c>
      <c r="C12" s="33" t="s">
        <v>27</v>
      </c>
      <c r="D12" s="4"/>
      <c r="E12" s="4"/>
      <c r="F12" s="4"/>
      <c r="G12" s="4"/>
      <c r="H12" s="8"/>
      <c r="I12" s="8"/>
      <c r="J12" s="8"/>
      <c r="K12" s="8"/>
      <c r="L12" s="8"/>
    </row>
    <row r="13" spans="1:12" x14ac:dyDescent="0.25">
      <c r="A13" s="4"/>
      <c r="B13" s="28">
        <v>2021</v>
      </c>
      <c r="C13" s="28">
        <v>225</v>
      </c>
      <c r="D13" s="4"/>
      <c r="E13" s="4"/>
      <c r="F13" s="4"/>
      <c r="G13" s="4"/>
      <c r="H13" s="8"/>
      <c r="I13" s="8"/>
      <c r="J13" s="8"/>
      <c r="K13" s="8"/>
      <c r="L13" s="8"/>
    </row>
    <row r="14" spans="1:12" x14ac:dyDescent="0.25">
      <c r="A14" s="4"/>
      <c r="B14" s="28">
        <v>2022</v>
      </c>
      <c r="C14" s="28">
        <v>930</v>
      </c>
      <c r="D14" s="4"/>
      <c r="E14" s="4"/>
      <c r="F14" s="4"/>
      <c r="G14" s="4"/>
      <c r="H14" s="8"/>
      <c r="I14" s="8"/>
      <c r="J14" s="8"/>
      <c r="K14" s="8"/>
      <c r="L14" s="8"/>
    </row>
    <row r="15" spans="1:12" x14ac:dyDescent="0.25">
      <c r="A15" s="8"/>
      <c r="B15" s="28">
        <v>2023</v>
      </c>
      <c r="C15" s="29">
        <v>1425</v>
      </c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8" x14ac:dyDescent="0.25">
      <c r="A17" s="5" t="s">
        <v>4</v>
      </c>
      <c r="B17" s="8" t="s">
        <v>72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7"/>
      <c r="N17" s="7"/>
      <c r="O17" s="7"/>
      <c r="P17" s="7"/>
      <c r="Q17" s="7"/>
      <c r="R17" s="7"/>
    </row>
    <row r="18" spans="1:18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8" x14ac:dyDescent="0.25">
      <c r="A19" s="6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8" x14ac:dyDescent="0.25">
      <c r="A20" s="90"/>
      <c r="C20" s="264" t="s">
        <v>296</v>
      </c>
      <c r="D20" s="264"/>
      <c r="E20" s="264"/>
      <c r="F20" s="264" t="s">
        <v>297</v>
      </c>
      <c r="G20" s="264"/>
      <c r="H20" s="264"/>
      <c r="I20" s="6"/>
      <c r="J20" s="6"/>
      <c r="K20" s="6"/>
      <c r="L20" s="6"/>
      <c r="M20" s="6"/>
      <c r="N20" s="7"/>
    </row>
    <row r="21" spans="1:18" ht="31.5" x14ac:dyDescent="0.25">
      <c r="A21" s="125" t="s">
        <v>294</v>
      </c>
      <c r="B21" s="125" t="s">
        <v>295</v>
      </c>
      <c r="C21" s="85">
        <v>2021</v>
      </c>
      <c r="D21" s="85">
        <f>C21+1</f>
        <v>2022</v>
      </c>
      <c r="E21" s="85">
        <f>D21+1</f>
        <v>2023</v>
      </c>
      <c r="F21" s="85">
        <v>2021</v>
      </c>
      <c r="G21" s="85">
        <f>F21+1</f>
        <v>2022</v>
      </c>
      <c r="H21" s="85">
        <f>G21+1</f>
        <v>2023</v>
      </c>
      <c r="M21" s="7"/>
      <c r="N21" s="7"/>
    </row>
    <row r="22" spans="1:18" x14ac:dyDescent="0.25">
      <c r="A22" s="126">
        <v>44287</v>
      </c>
      <c r="B22" s="96">
        <f>$D$6</f>
        <v>120</v>
      </c>
      <c r="C22" s="96">
        <v>9</v>
      </c>
      <c r="D22" s="96">
        <v>12</v>
      </c>
      <c r="E22" s="96">
        <f>MIN(24-SUM(C22:D22),12)</f>
        <v>3</v>
      </c>
      <c r="F22" s="96">
        <f>C22/24*$B22</f>
        <v>45</v>
      </c>
      <c r="G22" s="96">
        <f t="shared" ref="G22:H57" si="0">D22/24*$B22</f>
        <v>60</v>
      </c>
      <c r="H22" s="96">
        <f t="shared" si="0"/>
        <v>15</v>
      </c>
      <c r="M22" s="7"/>
      <c r="N22" s="7"/>
    </row>
    <row r="23" spans="1:18" x14ac:dyDescent="0.25">
      <c r="A23" s="127">
        <v>44317</v>
      </c>
      <c r="B23" s="96">
        <f t="shared" ref="B23:B57" si="1">$D$6</f>
        <v>120</v>
      </c>
      <c r="C23" s="96">
        <f>C22-1</f>
        <v>8</v>
      </c>
      <c r="D23" s="96">
        <v>12</v>
      </c>
      <c r="E23" s="96">
        <f t="shared" ref="E23:E43" si="2">MIN(24-SUM(C23:D23),12)</f>
        <v>4</v>
      </c>
      <c r="F23" s="96">
        <f t="shared" ref="F23:F57" si="3">C23/24*$B23</f>
        <v>40</v>
      </c>
      <c r="G23" s="96">
        <f t="shared" si="0"/>
        <v>60</v>
      </c>
      <c r="H23" s="96">
        <f t="shared" si="0"/>
        <v>20</v>
      </c>
      <c r="M23" s="7"/>
      <c r="N23" s="7"/>
    </row>
    <row r="24" spans="1:18" x14ac:dyDescent="0.25">
      <c r="A24" s="127">
        <v>44348</v>
      </c>
      <c r="B24" s="96">
        <f t="shared" si="1"/>
        <v>120</v>
      </c>
      <c r="C24" s="96">
        <f t="shared" ref="C24:D39" si="4">C23-1</f>
        <v>7</v>
      </c>
      <c r="D24" s="96">
        <v>12</v>
      </c>
      <c r="E24" s="96">
        <f t="shared" si="2"/>
        <v>5</v>
      </c>
      <c r="F24" s="96">
        <f t="shared" si="3"/>
        <v>35</v>
      </c>
      <c r="G24" s="96">
        <f t="shared" si="0"/>
        <v>60</v>
      </c>
      <c r="H24" s="96">
        <f t="shared" si="0"/>
        <v>25</v>
      </c>
      <c r="M24" s="7"/>
      <c r="N24" s="7"/>
    </row>
    <row r="25" spans="1:18" x14ac:dyDescent="0.25">
      <c r="A25" s="127">
        <v>44378</v>
      </c>
      <c r="B25" s="96">
        <f t="shared" si="1"/>
        <v>120</v>
      </c>
      <c r="C25" s="96">
        <f t="shared" si="4"/>
        <v>6</v>
      </c>
      <c r="D25" s="96">
        <v>12</v>
      </c>
      <c r="E25" s="96">
        <f t="shared" si="2"/>
        <v>6</v>
      </c>
      <c r="F25" s="96">
        <f t="shared" si="3"/>
        <v>30</v>
      </c>
      <c r="G25" s="96">
        <f t="shared" si="0"/>
        <v>60</v>
      </c>
      <c r="H25" s="96">
        <f t="shared" si="0"/>
        <v>30</v>
      </c>
      <c r="M25" s="7"/>
      <c r="N25" s="7"/>
    </row>
    <row r="26" spans="1:18" x14ac:dyDescent="0.25">
      <c r="A26" s="127">
        <v>44409</v>
      </c>
      <c r="B26" s="96">
        <f t="shared" si="1"/>
        <v>120</v>
      </c>
      <c r="C26" s="96">
        <f t="shared" si="4"/>
        <v>5</v>
      </c>
      <c r="D26" s="96">
        <v>12</v>
      </c>
      <c r="E26" s="96">
        <f t="shared" si="2"/>
        <v>7</v>
      </c>
      <c r="F26" s="96">
        <f t="shared" si="3"/>
        <v>25</v>
      </c>
      <c r="G26" s="96">
        <f t="shared" si="0"/>
        <v>60</v>
      </c>
      <c r="H26" s="96">
        <f t="shared" si="0"/>
        <v>35</v>
      </c>
      <c r="M26" s="7"/>
      <c r="N26" s="7"/>
    </row>
    <row r="27" spans="1:18" x14ac:dyDescent="0.25">
      <c r="A27" s="127">
        <v>44440</v>
      </c>
      <c r="B27" s="96">
        <f t="shared" si="1"/>
        <v>120</v>
      </c>
      <c r="C27" s="96">
        <f t="shared" si="4"/>
        <v>4</v>
      </c>
      <c r="D27" s="96">
        <v>12</v>
      </c>
      <c r="E27" s="96">
        <f t="shared" si="2"/>
        <v>8</v>
      </c>
      <c r="F27" s="96">
        <f t="shared" si="3"/>
        <v>20</v>
      </c>
      <c r="G27" s="96">
        <f t="shared" si="0"/>
        <v>60</v>
      </c>
      <c r="H27" s="96">
        <f t="shared" si="0"/>
        <v>40</v>
      </c>
      <c r="M27" s="7"/>
      <c r="N27" s="7"/>
    </row>
    <row r="28" spans="1:18" x14ac:dyDescent="0.25">
      <c r="A28" s="127">
        <v>44470</v>
      </c>
      <c r="B28" s="96">
        <f t="shared" si="1"/>
        <v>120</v>
      </c>
      <c r="C28" s="96">
        <f t="shared" si="4"/>
        <v>3</v>
      </c>
      <c r="D28" s="96">
        <v>12</v>
      </c>
      <c r="E28" s="96">
        <f t="shared" si="2"/>
        <v>9</v>
      </c>
      <c r="F28" s="96">
        <f t="shared" si="3"/>
        <v>15</v>
      </c>
      <c r="G28" s="96">
        <f t="shared" si="0"/>
        <v>60</v>
      </c>
      <c r="H28" s="96">
        <f t="shared" si="0"/>
        <v>45</v>
      </c>
      <c r="M28" s="7"/>
      <c r="N28" s="7"/>
    </row>
    <row r="29" spans="1:18" x14ac:dyDescent="0.25">
      <c r="A29" s="127">
        <v>44501</v>
      </c>
      <c r="B29" s="96">
        <f t="shared" si="1"/>
        <v>120</v>
      </c>
      <c r="C29" s="96">
        <f t="shared" si="4"/>
        <v>2</v>
      </c>
      <c r="D29" s="96">
        <v>12</v>
      </c>
      <c r="E29" s="96">
        <f t="shared" si="2"/>
        <v>10</v>
      </c>
      <c r="F29" s="96">
        <f t="shared" si="3"/>
        <v>10</v>
      </c>
      <c r="G29" s="96">
        <f t="shared" si="0"/>
        <v>60</v>
      </c>
      <c r="H29" s="96">
        <f t="shared" si="0"/>
        <v>50</v>
      </c>
      <c r="M29" s="7"/>
      <c r="N29" s="7"/>
    </row>
    <row r="30" spans="1:18" x14ac:dyDescent="0.25">
      <c r="A30" s="127">
        <v>44531</v>
      </c>
      <c r="B30" s="96">
        <f t="shared" si="1"/>
        <v>120</v>
      </c>
      <c r="C30" s="96">
        <f t="shared" si="4"/>
        <v>1</v>
      </c>
      <c r="D30" s="96">
        <v>12</v>
      </c>
      <c r="E30" s="96">
        <f t="shared" si="2"/>
        <v>11</v>
      </c>
      <c r="F30" s="96">
        <f t="shared" si="3"/>
        <v>5</v>
      </c>
      <c r="G30" s="96">
        <f t="shared" si="0"/>
        <v>60</v>
      </c>
      <c r="H30" s="96">
        <f t="shared" si="0"/>
        <v>55</v>
      </c>
      <c r="M30" s="7"/>
      <c r="N30" s="7"/>
    </row>
    <row r="31" spans="1:18" x14ac:dyDescent="0.25">
      <c r="A31" s="127">
        <v>44562</v>
      </c>
      <c r="B31" s="96">
        <f t="shared" si="1"/>
        <v>120</v>
      </c>
      <c r="C31" s="96">
        <v>0</v>
      </c>
      <c r="D31" s="96">
        <v>12</v>
      </c>
      <c r="E31" s="96">
        <f t="shared" si="2"/>
        <v>12</v>
      </c>
      <c r="F31" s="96">
        <f t="shared" si="3"/>
        <v>0</v>
      </c>
      <c r="G31" s="96">
        <f t="shared" si="0"/>
        <v>60</v>
      </c>
      <c r="H31" s="96">
        <f t="shared" si="0"/>
        <v>60</v>
      </c>
      <c r="M31" s="7"/>
      <c r="N31" s="7"/>
    </row>
    <row r="32" spans="1:18" x14ac:dyDescent="0.25">
      <c r="A32" s="127">
        <v>44593</v>
      </c>
      <c r="B32" s="96">
        <f t="shared" si="1"/>
        <v>120</v>
      </c>
      <c r="C32" s="96">
        <v>0</v>
      </c>
      <c r="D32" s="96">
        <f t="shared" si="4"/>
        <v>11</v>
      </c>
      <c r="E32" s="96">
        <f t="shared" si="2"/>
        <v>12</v>
      </c>
      <c r="F32" s="96">
        <f t="shared" si="3"/>
        <v>0</v>
      </c>
      <c r="G32" s="96">
        <f t="shared" si="0"/>
        <v>55</v>
      </c>
      <c r="H32" s="96">
        <f t="shared" si="0"/>
        <v>60</v>
      </c>
      <c r="M32" s="7"/>
      <c r="N32" s="7"/>
    </row>
    <row r="33" spans="1:14" x14ac:dyDescent="0.25">
      <c r="A33" s="127">
        <v>44621</v>
      </c>
      <c r="B33" s="96">
        <f t="shared" si="1"/>
        <v>120</v>
      </c>
      <c r="C33" s="96">
        <v>0</v>
      </c>
      <c r="D33" s="96">
        <f t="shared" si="4"/>
        <v>10</v>
      </c>
      <c r="E33" s="96">
        <f t="shared" si="2"/>
        <v>12</v>
      </c>
      <c r="F33" s="96">
        <f t="shared" si="3"/>
        <v>0</v>
      </c>
      <c r="G33" s="96">
        <f t="shared" si="0"/>
        <v>50</v>
      </c>
      <c r="H33" s="96">
        <f t="shared" si="0"/>
        <v>60</v>
      </c>
      <c r="M33" s="7"/>
      <c r="N33" s="7"/>
    </row>
    <row r="34" spans="1:14" x14ac:dyDescent="0.25">
      <c r="A34" s="127">
        <v>44652</v>
      </c>
      <c r="B34" s="96">
        <f t="shared" si="1"/>
        <v>120</v>
      </c>
      <c r="C34" s="96">
        <v>0</v>
      </c>
      <c r="D34" s="96">
        <f t="shared" si="4"/>
        <v>9</v>
      </c>
      <c r="E34" s="96">
        <f t="shared" si="2"/>
        <v>12</v>
      </c>
      <c r="F34" s="96">
        <f t="shared" si="3"/>
        <v>0</v>
      </c>
      <c r="G34" s="96">
        <f t="shared" si="0"/>
        <v>45</v>
      </c>
      <c r="H34" s="96">
        <f t="shared" si="0"/>
        <v>60</v>
      </c>
      <c r="M34" s="7"/>
      <c r="N34" s="7"/>
    </row>
    <row r="35" spans="1:14" x14ac:dyDescent="0.25">
      <c r="A35" s="127">
        <v>44682</v>
      </c>
      <c r="B35" s="96">
        <f t="shared" si="1"/>
        <v>120</v>
      </c>
      <c r="C35" s="96">
        <v>0</v>
      </c>
      <c r="D35" s="96">
        <f t="shared" si="4"/>
        <v>8</v>
      </c>
      <c r="E35" s="96">
        <f t="shared" si="2"/>
        <v>12</v>
      </c>
      <c r="F35" s="96">
        <f t="shared" si="3"/>
        <v>0</v>
      </c>
      <c r="G35" s="96">
        <f t="shared" si="0"/>
        <v>40</v>
      </c>
      <c r="H35" s="96">
        <f t="shared" si="0"/>
        <v>60</v>
      </c>
      <c r="M35" s="7"/>
      <c r="N35" s="7"/>
    </row>
    <row r="36" spans="1:14" x14ac:dyDescent="0.25">
      <c r="A36" s="127">
        <v>44713</v>
      </c>
      <c r="B36" s="96">
        <f t="shared" si="1"/>
        <v>120</v>
      </c>
      <c r="C36" s="96">
        <v>0</v>
      </c>
      <c r="D36" s="96">
        <f t="shared" si="4"/>
        <v>7</v>
      </c>
      <c r="E36" s="96">
        <f t="shared" si="2"/>
        <v>12</v>
      </c>
      <c r="F36" s="96">
        <f t="shared" si="3"/>
        <v>0</v>
      </c>
      <c r="G36" s="96">
        <f t="shared" si="0"/>
        <v>35</v>
      </c>
      <c r="H36" s="96">
        <f t="shared" si="0"/>
        <v>60</v>
      </c>
      <c r="M36" s="7"/>
      <c r="N36" s="7"/>
    </row>
    <row r="37" spans="1:14" x14ac:dyDescent="0.25">
      <c r="A37" s="127">
        <v>44743</v>
      </c>
      <c r="B37" s="96">
        <f t="shared" si="1"/>
        <v>120</v>
      </c>
      <c r="C37" s="96">
        <v>0</v>
      </c>
      <c r="D37" s="96">
        <f t="shared" si="4"/>
        <v>6</v>
      </c>
      <c r="E37" s="96">
        <f t="shared" si="2"/>
        <v>12</v>
      </c>
      <c r="F37" s="96">
        <f t="shared" si="3"/>
        <v>0</v>
      </c>
      <c r="G37" s="96">
        <f t="shared" si="0"/>
        <v>30</v>
      </c>
      <c r="H37" s="96">
        <f t="shared" si="0"/>
        <v>60</v>
      </c>
      <c r="M37" s="7"/>
      <c r="N37" s="7"/>
    </row>
    <row r="38" spans="1:14" x14ac:dyDescent="0.25">
      <c r="A38" s="127">
        <v>44774</v>
      </c>
      <c r="B38" s="96">
        <f t="shared" si="1"/>
        <v>120</v>
      </c>
      <c r="C38" s="96">
        <v>0</v>
      </c>
      <c r="D38" s="96">
        <f t="shared" si="4"/>
        <v>5</v>
      </c>
      <c r="E38" s="96">
        <f t="shared" si="2"/>
        <v>12</v>
      </c>
      <c r="F38" s="96">
        <f t="shared" si="3"/>
        <v>0</v>
      </c>
      <c r="G38" s="96">
        <f t="shared" si="0"/>
        <v>25</v>
      </c>
      <c r="H38" s="96">
        <f t="shared" si="0"/>
        <v>60</v>
      </c>
      <c r="M38" s="7"/>
      <c r="N38" s="7"/>
    </row>
    <row r="39" spans="1:14" x14ac:dyDescent="0.25">
      <c r="A39" s="127">
        <v>44805</v>
      </c>
      <c r="B39" s="96">
        <f t="shared" si="1"/>
        <v>120</v>
      </c>
      <c r="C39" s="96">
        <v>0</v>
      </c>
      <c r="D39" s="96">
        <f t="shared" si="4"/>
        <v>4</v>
      </c>
      <c r="E39" s="96">
        <f t="shared" si="2"/>
        <v>12</v>
      </c>
      <c r="F39" s="96">
        <f t="shared" si="3"/>
        <v>0</v>
      </c>
      <c r="G39" s="96">
        <f t="shared" si="0"/>
        <v>20</v>
      </c>
      <c r="H39" s="96">
        <f t="shared" si="0"/>
        <v>60</v>
      </c>
      <c r="M39" s="7"/>
      <c r="N39" s="7"/>
    </row>
    <row r="40" spans="1:14" x14ac:dyDescent="0.25">
      <c r="A40" s="127">
        <v>44835</v>
      </c>
      <c r="B40" s="96">
        <f t="shared" si="1"/>
        <v>120</v>
      </c>
      <c r="C40" s="96">
        <v>0</v>
      </c>
      <c r="D40" s="96">
        <f t="shared" ref="D40:D42" si="5">D39-1</f>
        <v>3</v>
      </c>
      <c r="E40" s="96">
        <f t="shared" si="2"/>
        <v>12</v>
      </c>
      <c r="F40" s="96">
        <f t="shared" si="3"/>
        <v>0</v>
      </c>
      <c r="G40" s="96">
        <f t="shared" si="0"/>
        <v>15</v>
      </c>
      <c r="H40" s="96">
        <f t="shared" si="0"/>
        <v>60</v>
      </c>
      <c r="M40" s="7"/>
      <c r="N40" s="7"/>
    </row>
    <row r="41" spans="1:14" x14ac:dyDescent="0.25">
      <c r="A41" s="127">
        <v>44866</v>
      </c>
      <c r="B41" s="96">
        <f t="shared" si="1"/>
        <v>120</v>
      </c>
      <c r="C41" s="96">
        <v>0</v>
      </c>
      <c r="D41" s="96">
        <f t="shared" si="5"/>
        <v>2</v>
      </c>
      <c r="E41" s="96">
        <f t="shared" si="2"/>
        <v>12</v>
      </c>
      <c r="F41" s="96">
        <f t="shared" si="3"/>
        <v>0</v>
      </c>
      <c r="G41" s="96">
        <f t="shared" si="0"/>
        <v>10</v>
      </c>
      <c r="H41" s="96">
        <f t="shared" si="0"/>
        <v>60</v>
      </c>
      <c r="M41" s="7"/>
      <c r="N41" s="7"/>
    </row>
    <row r="42" spans="1:14" x14ac:dyDescent="0.25">
      <c r="A42" s="127">
        <v>44896</v>
      </c>
      <c r="B42" s="96">
        <f t="shared" si="1"/>
        <v>120</v>
      </c>
      <c r="C42" s="96">
        <v>0</v>
      </c>
      <c r="D42" s="96">
        <f t="shared" si="5"/>
        <v>1</v>
      </c>
      <c r="E42" s="96">
        <f t="shared" si="2"/>
        <v>12</v>
      </c>
      <c r="F42" s="96">
        <f t="shared" si="3"/>
        <v>0</v>
      </c>
      <c r="G42" s="96">
        <f t="shared" si="0"/>
        <v>5</v>
      </c>
      <c r="H42" s="96">
        <f t="shared" si="0"/>
        <v>60</v>
      </c>
      <c r="M42" s="7"/>
      <c r="N42" s="7"/>
    </row>
    <row r="43" spans="1:14" x14ac:dyDescent="0.25">
      <c r="A43" s="127">
        <v>44927</v>
      </c>
      <c r="B43" s="96">
        <f t="shared" si="1"/>
        <v>120</v>
      </c>
      <c r="C43" s="96">
        <v>0</v>
      </c>
      <c r="D43" s="96">
        <v>0</v>
      </c>
      <c r="E43" s="96">
        <f t="shared" si="2"/>
        <v>12</v>
      </c>
      <c r="F43" s="96">
        <f t="shared" si="3"/>
        <v>0</v>
      </c>
      <c r="G43" s="96">
        <f t="shared" si="0"/>
        <v>0</v>
      </c>
      <c r="H43" s="96">
        <f t="shared" si="0"/>
        <v>60</v>
      </c>
      <c r="M43" s="7"/>
      <c r="N43" s="7"/>
    </row>
    <row r="44" spans="1:14" x14ac:dyDescent="0.25">
      <c r="A44" s="127">
        <v>44958</v>
      </c>
      <c r="B44" s="96">
        <f t="shared" si="1"/>
        <v>120</v>
      </c>
      <c r="C44" s="96">
        <v>0</v>
      </c>
      <c r="D44" s="96">
        <v>0</v>
      </c>
      <c r="E44" s="96">
        <f>E43-1</f>
        <v>11</v>
      </c>
      <c r="F44" s="96">
        <f t="shared" si="3"/>
        <v>0</v>
      </c>
      <c r="G44" s="96">
        <f t="shared" si="0"/>
        <v>0</v>
      </c>
      <c r="H44" s="96">
        <f t="shared" si="0"/>
        <v>55</v>
      </c>
      <c r="M44" s="7"/>
      <c r="N44" s="7"/>
    </row>
    <row r="45" spans="1:14" x14ac:dyDescent="0.25">
      <c r="A45" s="127">
        <v>44986</v>
      </c>
      <c r="B45" s="96">
        <f t="shared" si="1"/>
        <v>120</v>
      </c>
      <c r="C45" s="96">
        <v>0</v>
      </c>
      <c r="D45" s="96">
        <v>0</v>
      </c>
      <c r="E45" s="96">
        <f t="shared" ref="E45:E54" si="6">E44-1</f>
        <v>10</v>
      </c>
      <c r="F45" s="96">
        <f t="shared" si="3"/>
        <v>0</v>
      </c>
      <c r="G45" s="96">
        <f t="shared" si="0"/>
        <v>0</v>
      </c>
      <c r="H45" s="96">
        <f t="shared" si="0"/>
        <v>50</v>
      </c>
      <c r="M45" s="7"/>
      <c r="N45" s="7"/>
    </row>
    <row r="46" spans="1:14" x14ac:dyDescent="0.25">
      <c r="A46" s="127">
        <v>45017</v>
      </c>
      <c r="B46" s="96">
        <f t="shared" si="1"/>
        <v>120</v>
      </c>
      <c r="C46" s="96">
        <v>0</v>
      </c>
      <c r="D46" s="96">
        <v>0</v>
      </c>
      <c r="E46" s="96">
        <f t="shared" si="6"/>
        <v>9</v>
      </c>
      <c r="F46" s="96">
        <f t="shared" si="3"/>
        <v>0</v>
      </c>
      <c r="G46" s="96">
        <f t="shared" si="0"/>
        <v>0</v>
      </c>
      <c r="H46" s="96">
        <f t="shared" si="0"/>
        <v>45</v>
      </c>
      <c r="M46" s="7"/>
      <c r="N46" s="7"/>
    </row>
    <row r="47" spans="1:14" x14ac:dyDescent="0.25">
      <c r="A47" s="127">
        <v>45047</v>
      </c>
      <c r="B47" s="96">
        <f t="shared" si="1"/>
        <v>120</v>
      </c>
      <c r="C47" s="96">
        <v>0</v>
      </c>
      <c r="D47" s="96">
        <v>0</v>
      </c>
      <c r="E47" s="96">
        <f t="shared" si="6"/>
        <v>8</v>
      </c>
      <c r="F47" s="96">
        <f t="shared" si="3"/>
        <v>0</v>
      </c>
      <c r="G47" s="96">
        <f t="shared" si="0"/>
        <v>0</v>
      </c>
      <c r="H47" s="96">
        <f t="shared" si="0"/>
        <v>40</v>
      </c>
      <c r="M47" s="7"/>
      <c r="N47" s="7"/>
    </row>
    <row r="48" spans="1:14" x14ac:dyDescent="0.25">
      <c r="A48" s="127">
        <v>45078</v>
      </c>
      <c r="B48" s="96">
        <f t="shared" si="1"/>
        <v>120</v>
      </c>
      <c r="C48" s="96">
        <v>0</v>
      </c>
      <c r="D48" s="96">
        <v>0</v>
      </c>
      <c r="E48" s="96">
        <f t="shared" si="6"/>
        <v>7</v>
      </c>
      <c r="F48" s="96">
        <f t="shared" si="3"/>
        <v>0</v>
      </c>
      <c r="G48" s="96">
        <f t="shared" si="0"/>
        <v>0</v>
      </c>
      <c r="H48" s="96">
        <f t="shared" si="0"/>
        <v>35</v>
      </c>
      <c r="M48" s="7"/>
      <c r="N48" s="7"/>
    </row>
    <row r="49" spans="1:14" x14ac:dyDescent="0.25">
      <c r="A49" s="127">
        <v>45108</v>
      </c>
      <c r="B49" s="96">
        <f t="shared" si="1"/>
        <v>120</v>
      </c>
      <c r="C49" s="96">
        <v>0</v>
      </c>
      <c r="D49" s="96">
        <v>0</v>
      </c>
      <c r="E49" s="96">
        <f t="shared" si="6"/>
        <v>6</v>
      </c>
      <c r="F49" s="96">
        <f t="shared" si="3"/>
        <v>0</v>
      </c>
      <c r="G49" s="96">
        <f t="shared" si="0"/>
        <v>0</v>
      </c>
      <c r="H49" s="96">
        <f t="shared" si="0"/>
        <v>30</v>
      </c>
      <c r="M49" s="7"/>
      <c r="N49" s="7"/>
    </row>
    <row r="50" spans="1:14" x14ac:dyDescent="0.25">
      <c r="A50" s="127">
        <v>45139</v>
      </c>
      <c r="B50" s="96">
        <f t="shared" si="1"/>
        <v>120</v>
      </c>
      <c r="C50" s="96">
        <v>0</v>
      </c>
      <c r="D50" s="96">
        <v>0</v>
      </c>
      <c r="E50" s="96">
        <f t="shared" si="6"/>
        <v>5</v>
      </c>
      <c r="F50" s="96">
        <f t="shared" si="3"/>
        <v>0</v>
      </c>
      <c r="G50" s="96">
        <f t="shared" si="0"/>
        <v>0</v>
      </c>
      <c r="H50" s="96">
        <f t="shared" si="0"/>
        <v>25</v>
      </c>
      <c r="M50" s="7"/>
      <c r="N50" s="7"/>
    </row>
    <row r="51" spans="1:14" x14ac:dyDescent="0.25">
      <c r="A51" s="127">
        <v>45170</v>
      </c>
      <c r="B51" s="96">
        <f t="shared" si="1"/>
        <v>120</v>
      </c>
      <c r="C51" s="96">
        <v>0</v>
      </c>
      <c r="D51" s="96">
        <v>0</v>
      </c>
      <c r="E51" s="96">
        <f t="shared" si="6"/>
        <v>4</v>
      </c>
      <c r="F51" s="96">
        <f t="shared" si="3"/>
        <v>0</v>
      </c>
      <c r="G51" s="96">
        <f t="shared" si="0"/>
        <v>0</v>
      </c>
      <c r="H51" s="96">
        <f t="shared" si="0"/>
        <v>20</v>
      </c>
      <c r="M51" s="7"/>
      <c r="N51" s="7"/>
    </row>
    <row r="52" spans="1:14" x14ac:dyDescent="0.25">
      <c r="A52" s="127">
        <v>45200</v>
      </c>
      <c r="B52" s="96">
        <f t="shared" si="1"/>
        <v>120</v>
      </c>
      <c r="C52" s="96">
        <v>0</v>
      </c>
      <c r="D52" s="96">
        <v>0</v>
      </c>
      <c r="E52" s="96">
        <f t="shared" si="6"/>
        <v>3</v>
      </c>
      <c r="F52" s="96">
        <f t="shared" si="3"/>
        <v>0</v>
      </c>
      <c r="G52" s="96">
        <f t="shared" si="0"/>
        <v>0</v>
      </c>
      <c r="H52" s="96">
        <f t="shared" si="0"/>
        <v>15</v>
      </c>
      <c r="M52" s="7"/>
      <c r="N52" s="7"/>
    </row>
    <row r="53" spans="1:14" x14ac:dyDescent="0.25">
      <c r="A53" s="127">
        <v>45231</v>
      </c>
      <c r="B53" s="96">
        <f t="shared" si="1"/>
        <v>120</v>
      </c>
      <c r="C53" s="96">
        <v>0</v>
      </c>
      <c r="D53" s="96">
        <v>0</v>
      </c>
      <c r="E53" s="96">
        <f t="shared" si="6"/>
        <v>2</v>
      </c>
      <c r="F53" s="96">
        <f t="shared" si="3"/>
        <v>0</v>
      </c>
      <c r="G53" s="96">
        <f t="shared" si="0"/>
        <v>0</v>
      </c>
      <c r="H53" s="96">
        <f t="shared" si="0"/>
        <v>10</v>
      </c>
      <c r="M53" s="7"/>
      <c r="N53" s="7"/>
    </row>
    <row r="54" spans="1:14" x14ac:dyDescent="0.25">
      <c r="A54" s="127">
        <v>45261</v>
      </c>
      <c r="B54" s="96">
        <f t="shared" si="1"/>
        <v>120</v>
      </c>
      <c r="C54" s="96">
        <v>0</v>
      </c>
      <c r="D54" s="96">
        <v>0</v>
      </c>
      <c r="E54" s="96">
        <f t="shared" si="6"/>
        <v>1</v>
      </c>
      <c r="F54" s="96">
        <f t="shared" si="3"/>
        <v>0</v>
      </c>
      <c r="G54" s="96">
        <f t="shared" si="0"/>
        <v>0</v>
      </c>
      <c r="H54" s="96">
        <f t="shared" si="0"/>
        <v>5</v>
      </c>
      <c r="M54" s="7"/>
      <c r="N54" s="7"/>
    </row>
    <row r="55" spans="1:14" x14ac:dyDescent="0.25">
      <c r="A55" s="127">
        <v>45292</v>
      </c>
      <c r="B55" s="96">
        <f t="shared" si="1"/>
        <v>120</v>
      </c>
      <c r="C55" s="96">
        <v>0</v>
      </c>
      <c r="D55" s="96">
        <v>0</v>
      </c>
      <c r="E55" s="96">
        <v>0</v>
      </c>
      <c r="F55" s="96">
        <f t="shared" si="3"/>
        <v>0</v>
      </c>
      <c r="G55" s="96">
        <f t="shared" si="0"/>
        <v>0</v>
      </c>
      <c r="H55" s="96">
        <f t="shared" si="0"/>
        <v>0</v>
      </c>
      <c r="M55" s="7"/>
      <c r="N55" s="7"/>
    </row>
    <row r="56" spans="1:14" x14ac:dyDescent="0.25">
      <c r="A56" s="127">
        <v>45323</v>
      </c>
      <c r="B56" s="96">
        <f t="shared" si="1"/>
        <v>120</v>
      </c>
      <c r="C56" s="96">
        <v>0</v>
      </c>
      <c r="D56" s="96">
        <v>0</v>
      </c>
      <c r="E56" s="96">
        <v>0</v>
      </c>
      <c r="F56" s="96">
        <f t="shared" si="3"/>
        <v>0</v>
      </c>
      <c r="G56" s="96">
        <f t="shared" si="0"/>
        <v>0</v>
      </c>
      <c r="H56" s="96">
        <f t="shared" si="0"/>
        <v>0</v>
      </c>
      <c r="M56" s="7"/>
      <c r="N56" s="7"/>
    </row>
    <row r="57" spans="1:14" x14ac:dyDescent="0.25">
      <c r="A57" s="128">
        <v>45352</v>
      </c>
      <c r="B57" s="85">
        <f t="shared" si="1"/>
        <v>120</v>
      </c>
      <c r="C57" s="85">
        <v>0</v>
      </c>
      <c r="D57" s="85">
        <v>0</v>
      </c>
      <c r="E57" s="85">
        <v>0</v>
      </c>
      <c r="F57" s="85">
        <f t="shared" si="3"/>
        <v>0</v>
      </c>
      <c r="G57" s="85">
        <f t="shared" si="0"/>
        <v>0</v>
      </c>
      <c r="H57" s="85">
        <f t="shared" si="0"/>
        <v>0</v>
      </c>
      <c r="M57" s="7"/>
      <c r="N57" s="7"/>
    </row>
    <row r="58" spans="1:14" x14ac:dyDescent="0.25">
      <c r="A58" s="129" t="s">
        <v>31</v>
      </c>
      <c r="C58" s="96"/>
      <c r="D58" s="96"/>
      <c r="E58" s="96"/>
      <c r="F58" s="91">
        <f>SUM(F22:F57)</f>
        <v>225</v>
      </c>
      <c r="G58" s="91">
        <f>SUM(G22:G57)</f>
        <v>930</v>
      </c>
      <c r="H58" s="91">
        <f>SUM(H22:H57)</f>
        <v>1425</v>
      </c>
      <c r="M58" s="7"/>
      <c r="N58" s="7"/>
    </row>
    <row r="60" spans="1:14" x14ac:dyDescent="0.25">
      <c r="A60" s="5" t="s">
        <v>5</v>
      </c>
      <c r="B60" s="8" t="s">
        <v>73</v>
      </c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4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4" x14ac:dyDescent="0.25">
      <c r="A62" s="6" t="s">
        <v>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4" x14ac:dyDescent="0.25">
      <c r="A63" s="130"/>
      <c r="B63" s="6"/>
      <c r="C63" s="135">
        <v>44561</v>
      </c>
      <c r="D63" s="135">
        <f>DATE(1+YEAR(C63),12,31)</f>
        <v>44926</v>
      </c>
      <c r="E63" s="135">
        <f>DATE(1+YEAR(D63),12,31)</f>
        <v>45291</v>
      </c>
      <c r="F63" s="6"/>
      <c r="G63" s="6"/>
      <c r="H63" s="6"/>
      <c r="I63" s="6"/>
      <c r="J63" s="6"/>
      <c r="K63" s="6"/>
      <c r="L63" s="6"/>
    </row>
    <row r="64" spans="1:14" x14ac:dyDescent="0.25">
      <c r="A64" s="130" t="s">
        <v>298</v>
      </c>
      <c r="B64" s="6"/>
      <c r="C64" s="81">
        <f>F58</f>
        <v>225</v>
      </c>
      <c r="D64" s="81">
        <f t="shared" ref="D64:E64" si="7">G58</f>
        <v>930</v>
      </c>
      <c r="E64" s="81">
        <f t="shared" si="7"/>
        <v>1425</v>
      </c>
      <c r="F64" s="6"/>
      <c r="G64" s="6"/>
      <c r="H64" s="6"/>
      <c r="I64" s="6"/>
      <c r="J64" s="6"/>
      <c r="K64" s="6"/>
      <c r="L64" s="6"/>
    </row>
    <row r="65" spans="1:12" x14ac:dyDescent="0.25">
      <c r="A65" s="130" t="s">
        <v>299</v>
      </c>
      <c r="B65" s="6"/>
      <c r="C65" s="132">
        <f>9*$D$6</f>
        <v>1080</v>
      </c>
      <c r="D65" s="132">
        <f>12*$D$6</f>
        <v>1440</v>
      </c>
      <c r="E65" s="132">
        <f>D65</f>
        <v>1440</v>
      </c>
      <c r="F65" s="6"/>
      <c r="G65" s="6"/>
      <c r="H65" s="6"/>
      <c r="I65" s="6"/>
      <c r="J65" s="6"/>
      <c r="K65" s="6"/>
      <c r="L65" s="6"/>
    </row>
    <row r="66" spans="1:12" x14ac:dyDescent="0.25">
      <c r="A66" s="130" t="s">
        <v>300</v>
      </c>
      <c r="B66" s="6"/>
      <c r="C66" s="81">
        <f>C65-C64</f>
        <v>855</v>
      </c>
      <c r="D66" s="81">
        <f>D65-D64+C66</f>
        <v>1365</v>
      </c>
      <c r="E66" s="81">
        <f>E65-E64+D66</f>
        <v>1380</v>
      </c>
      <c r="F66" s="6"/>
      <c r="G66" s="6"/>
      <c r="H66" s="6"/>
      <c r="I66" s="6"/>
      <c r="J66" s="6"/>
      <c r="K66" s="6"/>
      <c r="L66" s="6"/>
    </row>
    <row r="68" spans="1:12" x14ac:dyDescent="0.25">
      <c r="A68" s="5" t="s">
        <v>0</v>
      </c>
      <c r="B68" s="8" t="s">
        <v>74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6" t="s">
        <v>1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/>
      <c r="B71" s="6"/>
      <c r="C71" s="6"/>
      <c r="D71" s="6"/>
      <c r="E71" s="6"/>
      <c r="F71" s="6"/>
    </row>
    <row r="72" spans="1:12" x14ac:dyDescent="0.25">
      <c r="A72" s="6" t="s">
        <v>302</v>
      </c>
      <c r="B72" s="6"/>
      <c r="C72" s="6"/>
      <c r="D72" s="6"/>
      <c r="E72" s="6"/>
      <c r="F72" s="6"/>
    </row>
    <row r="73" spans="1:12" x14ac:dyDescent="0.25">
      <c r="A73" s="6"/>
      <c r="B73" s="6"/>
      <c r="C73" s="6"/>
      <c r="D73" s="6"/>
      <c r="E73" s="6"/>
      <c r="F73" s="6"/>
    </row>
    <row r="74" spans="1:12" x14ac:dyDescent="0.25">
      <c r="A74" s="6" t="s">
        <v>301</v>
      </c>
      <c r="B74" s="6"/>
      <c r="C74" s="131">
        <f>24*$D$6</f>
        <v>2880</v>
      </c>
      <c r="D74" s="6"/>
      <c r="F74" s="6"/>
    </row>
    <row r="75" spans="1:12" x14ac:dyDescent="0.25">
      <c r="A75" s="6"/>
      <c r="B75" s="6"/>
      <c r="C75" s="6"/>
      <c r="D75" s="6"/>
      <c r="E75" s="131"/>
      <c r="F75" s="6"/>
    </row>
    <row r="76" spans="1:12" x14ac:dyDescent="0.25">
      <c r="A76" s="3"/>
      <c r="B76" s="3"/>
      <c r="C76" s="3"/>
      <c r="D76" s="3"/>
      <c r="E76" s="3"/>
      <c r="F76" s="3"/>
      <c r="G76" s="4"/>
      <c r="H76" s="4"/>
      <c r="I76" s="4"/>
      <c r="J76" s="4"/>
      <c r="K76" s="4"/>
      <c r="L76" s="4"/>
    </row>
    <row r="77" spans="1:12" x14ac:dyDescent="0.25">
      <c r="A77" s="261" t="s">
        <v>75</v>
      </c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4"/>
    </row>
    <row r="78" spans="1:12" x14ac:dyDescent="0.25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4"/>
    </row>
    <row r="80" spans="1:12" x14ac:dyDescent="0.25">
      <c r="A80" s="5" t="s">
        <v>2</v>
      </c>
      <c r="B80" s="8" t="s">
        <v>76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6" t="s">
        <v>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1" t="s">
        <v>311</v>
      </c>
    </row>
    <row r="85" spans="1:12" x14ac:dyDescent="0.25">
      <c r="A85" s="84" t="s">
        <v>303</v>
      </c>
    </row>
    <row r="86" spans="1:12" x14ac:dyDescent="0.25">
      <c r="A86" s="84" t="s">
        <v>304</v>
      </c>
    </row>
    <row r="88" spans="1:12" x14ac:dyDescent="0.25">
      <c r="A88" s="3"/>
      <c r="B88" s="3"/>
      <c r="C88" s="3"/>
      <c r="D88" s="3"/>
      <c r="E88" s="3"/>
      <c r="F88" s="3"/>
      <c r="G88" s="4"/>
      <c r="H88" s="4"/>
      <c r="I88" s="4"/>
      <c r="J88" s="4"/>
      <c r="K88" s="4"/>
      <c r="L88" s="4"/>
    </row>
    <row r="89" spans="1:12" x14ac:dyDescent="0.25">
      <c r="A89" s="8" t="s">
        <v>77</v>
      </c>
      <c r="B89" s="3"/>
      <c r="C89" s="3"/>
      <c r="D89" s="3"/>
      <c r="E89" s="3"/>
      <c r="F89" s="3"/>
      <c r="G89" s="4"/>
      <c r="H89" s="4"/>
      <c r="I89" s="4"/>
      <c r="J89" s="4"/>
      <c r="K89" s="4"/>
      <c r="L89" s="4"/>
    </row>
    <row r="90" spans="1:12" x14ac:dyDescent="0.25">
      <c r="A90" s="3"/>
      <c r="B90" s="3"/>
      <c r="C90" s="3"/>
      <c r="D90" s="3"/>
      <c r="E90" s="3"/>
      <c r="F90" s="3"/>
      <c r="G90" s="4"/>
      <c r="H90" s="4"/>
      <c r="I90" s="4"/>
      <c r="J90" s="4"/>
      <c r="K90" s="4"/>
      <c r="L90" s="4"/>
    </row>
    <row r="91" spans="1:12" x14ac:dyDescent="0.25">
      <c r="A91" s="3"/>
      <c r="B91" s="25" t="s">
        <v>13</v>
      </c>
      <c r="C91" s="259" t="s">
        <v>78</v>
      </c>
      <c r="D91" s="260"/>
      <c r="E91" s="260"/>
      <c r="F91" s="3"/>
      <c r="G91" s="4"/>
      <c r="H91" s="4"/>
      <c r="I91" s="4"/>
      <c r="J91" s="4"/>
      <c r="K91" s="4"/>
      <c r="L91" s="4"/>
    </row>
    <row r="92" spans="1:12" x14ac:dyDescent="0.25">
      <c r="A92" s="3"/>
      <c r="B92" s="26" t="s">
        <v>14</v>
      </c>
      <c r="C92" s="23">
        <v>12</v>
      </c>
      <c r="D92" s="20">
        <v>24</v>
      </c>
      <c r="E92" s="20">
        <v>36</v>
      </c>
      <c r="F92" s="3"/>
      <c r="G92" s="4"/>
      <c r="H92" s="4"/>
      <c r="I92" s="4"/>
      <c r="J92" s="4"/>
      <c r="K92" s="4"/>
      <c r="L92" s="4"/>
    </row>
    <row r="93" spans="1:12" x14ac:dyDescent="0.25">
      <c r="A93" s="3"/>
      <c r="B93" s="24">
        <v>2021</v>
      </c>
      <c r="C93" s="21">
        <v>68</v>
      </c>
      <c r="D93" s="21">
        <v>108</v>
      </c>
      <c r="E93" s="21">
        <v>135</v>
      </c>
      <c r="F93" s="3"/>
      <c r="G93" s="4"/>
      <c r="H93" s="4"/>
      <c r="I93" s="4"/>
      <c r="J93" s="4"/>
      <c r="K93" s="4"/>
      <c r="L93" s="4"/>
    </row>
    <row r="94" spans="1:12" x14ac:dyDescent="0.25">
      <c r="A94" s="3"/>
      <c r="B94" s="21">
        <v>2022</v>
      </c>
      <c r="C94" s="21">
        <v>279</v>
      </c>
      <c r="D94" s="21">
        <v>446</v>
      </c>
      <c r="E94" s="21"/>
      <c r="F94" s="3"/>
      <c r="G94" s="4"/>
      <c r="H94" s="4"/>
      <c r="I94" s="4"/>
      <c r="J94" s="4"/>
      <c r="K94" s="4"/>
      <c r="L94" s="4"/>
    </row>
    <row r="95" spans="1:12" x14ac:dyDescent="0.25">
      <c r="A95" s="3"/>
      <c r="B95" s="21">
        <v>2023</v>
      </c>
      <c r="C95" s="21">
        <v>428</v>
      </c>
      <c r="D95" s="21"/>
      <c r="E95" s="21"/>
      <c r="F95" s="3"/>
      <c r="G95" s="4"/>
      <c r="H95" s="4"/>
      <c r="I95" s="4"/>
      <c r="J95" s="4"/>
      <c r="K95" s="4"/>
      <c r="L95" s="4"/>
    </row>
    <row r="97" spans="1:12" x14ac:dyDescent="0.25">
      <c r="A97" s="5" t="s">
        <v>3</v>
      </c>
      <c r="B97" s="8" t="s">
        <v>79</v>
      </c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5">
      <c r="A99" s="6" t="s">
        <v>1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5">
      <c r="A100" s="6" t="s">
        <v>307</v>
      </c>
      <c r="B100" s="6"/>
      <c r="C100" s="6">
        <f>D93+C94-C93</f>
        <v>319</v>
      </c>
      <c r="D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6" t="s">
        <v>308</v>
      </c>
      <c r="B101" s="6"/>
      <c r="C101" s="6">
        <f>E93+D94+C95-D93-C94</f>
        <v>622</v>
      </c>
      <c r="D101" s="6"/>
      <c r="F101" s="6"/>
      <c r="G101" s="6"/>
      <c r="H101" s="6"/>
      <c r="I101" s="6"/>
      <c r="J101" s="6"/>
      <c r="K101" s="6"/>
      <c r="L101" s="6"/>
    </row>
    <row r="102" spans="1:12" x14ac:dyDescent="0.25">
      <c r="A102" s="6"/>
      <c r="B102" s="6"/>
      <c r="C102" s="6"/>
      <c r="D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 t="s">
        <v>309</v>
      </c>
      <c r="B103" s="6"/>
      <c r="C103" s="133">
        <f>C100/G58</f>
        <v>0.34301075268817205</v>
      </c>
      <c r="D103" s="6"/>
      <c r="F103" s="6"/>
      <c r="G103" s="6"/>
      <c r="H103" s="6"/>
      <c r="I103" s="6"/>
      <c r="J103" s="6"/>
      <c r="K103" s="6"/>
      <c r="L103" s="6"/>
    </row>
    <row r="104" spans="1:12" x14ac:dyDescent="0.25">
      <c r="A104" s="6" t="s">
        <v>310</v>
      </c>
      <c r="B104" s="6"/>
      <c r="C104" s="133">
        <f>C101/H58</f>
        <v>0.43649122807017543</v>
      </c>
      <c r="D104" s="6"/>
      <c r="F104" s="6"/>
      <c r="G104" s="6"/>
      <c r="H104" s="6"/>
      <c r="I104" s="6"/>
      <c r="J104" s="6"/>
      <c r="K104" s="6"/>
      <c r="L104" s="6"/>
    </row>
    <row r="106" spans="1:12" x14ac:dyDescent="0.25">
      <c r="A106" s="3"/>
      <c r="B106" s="3"/>
      <c r="C106" s="3"/>
      <c r="D106" s="3"/>
      <c r="E106" s="3"/>
      <c r="F106" s="3"/>
      <c r="G106" s="4"/>
      <c r="H106" s="4"/>
      <c r="I106" s="4"/>
      <c r="J106" s="4"/>
      <c r="K106" s="4"/>
      <c r="L106" s="4"/>
    </row>
    <row r="107" spans="1:12" x14ac:dyDescent="0.25">
      <c r="A107" s="44" t="s">
        <v>80</v>
      </c>
      <c r="B107" s="8"/>
      <c r="C107" s="8"/>
      <c r="D107" s="8"/>
      <c r="E107" s="8"/>
      <c r="F107" s="8"/>
      <c r="G107" s="4"/>
      <c r="H107" s="4"/>
      <c r="I107" s="4"/>
      <c r="J107" s="4"/>
      <c r="K107" s="4"/>
      <c r="L107" s="4"/>
    </row>
    <row r="108" spans="1:12" x14ac:dyDescent="0.25">
      <c r="A108" s="8"/>
      <c r="B108" s="8"/>
      <c r="C108" s="8"/>
      <c r="D108" s="8"/>
      <c r="E108" s="8"/>
      <c r="F108" s="8"/>
      <c r="G108" s="4"/>
      <c r="H108" s="4"/>
      <c r="I108" s="4"/>
      <c r="J108" s="4"/>
      <c r="K108" s="4"/>
      <c r="L108" s="4"/>
    </row>
    <row r="109" spans="1:12" x14ac:dyDescent="0.25">
      <c r="A109" s="8"/>
      <c r="B109" s="35" t="s">
        <v>81</v>
      </c>
      <c r="C109" s="8"/>
      <c r="D109" s="8"/>
      <c r="E109" s="8"/>
      <c r="F109" s="8"/>
      <c r="G109" s="4"/>
      <c r="H109" s="4"/>
      <c r="I109" s="4"/>
      <c r="J109" s="4"/>
      <c r="K109" s="4"/>
      <c r="L109" s="4"/>
    </row>
    <row r="110" spans="1:12" x14ac:dyDescent="0.25">
      <c r="A110" s="8"/>
      <c r="B110" s="35" t="s">
        <v>82</v>
      </c>
      <c r="C110" s="8"/>
      <c r="D110" s="8"/>
      <c r="E110" s="8"/>
      <c r="F110" s="8"/>
      <c r="G110" s="4"/>
      <c r="H110" s="4"/>
      <c r="I110" s="4"/>
      <c r="J110" s="4"/>
      <c r="K110" s="4"/>
      <c r="L110" s="4"/>
    </row>
    <row r="112" spans="1:12" x14ac:dyDescent="0.25">
      <c r="A112" s="5" t="s">
        <v>6</v>
      </c>
      <c r="B112" s="8" t="s">
        <v>83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5">
      <c r="A114" s="6" t="s">
        <v>1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5">
      <c r="H115" s="6"/>
      <c r="I115" s="6"/>
      <c r="J115" s="6"/>
      <c r="K115" s="6"/>
      <c r="L115" s="6"/>
    </row>
    <row r="116" spans="1:12" x14ac:dyDescent="0.25">
      <c r="A116" s="6" t="s">
        <v>306</v>
      </c>
      <c r="B116" s="6"/>
      <c r="C116" s="6"/>
      <c r="D116" s="134">
        <f>E93/F58</f>
        <v>0.6</v>
      </c>
      <c r="E116" s="6"/>
      <c r="G116" s="6"/>
      <c r="H116" s="6"/>
      <c r="I116" s="6"/>
      <c r="J116" s="6"/>
      <c r="K116" s="6"/>
      <c r="L116" s="6"/>
    </row>
    <row r="117" spans="1:12" x14ac:dyDescent="0.25">
      <c r="A117" s="6"/>
      <c r="B117" s="6"/>
      <c r="C117" s="6"/>
      <c r="D117" s="6"/>
      <c r="E117" s="6"/>
      <c r="F117" s="6"/>
      <c r="G117" s="6"/>
    </row>
    <row r="118" spans="1:12" ht="31.5" x14ac:dyDescent="0.25">
      <c r="A118" s="80" t="s">
        <v>25</v>
      </c>
      <c r="B118" s="93" t="s">
        <v>27</v>
      </c>
      <c r="C118" s="93" t="s">
        <v>87</v>
      </c>
      <c r="D118" s="80" t="s">
        <v>305</v>
      </c>
      <c r="F118" s="6"/>
      <c r="G118" s="6"/>
    </row>
    <row r="119" spans="1:12" x14ac:dyDescent="0.25">
      <c r="A119" s="79">
        <v>2022</v>
      </c>
      <c r="B119" s="81">
        <f>G58</f>
        <v>930</v>
      </c>
      <c r="C119" s="81">
        <f>$D$116*B119</f>
        <v>558</v>
      </c>
      <c r="D119" s="81">
        <f>C119-D94</f>
        <v>112</v>
      </c>
      <c r="G119" s="6"/>
    </row>
    <row r="120" spans="1:12" x14ac:dyDescent="0.25">
      <c r="A120" s="79">
        <f>A119</f>
        <v>2022</v>
      </c>
      <c r="B120" s="81">
        <f>H58</f>
        <v>1425</v>
      </c>
      <c r="C120" s="81">
        <f>$D$116*B120</f>
        <v>855</v>
      </c>
      <c r="D120" s="81">
        <f>C120-C95</f>
        <v>427</v>
      </c>
      <c r="G120" s="6"/>
    </row>
    <row r="121" spans="1:12" x14ac:dyDescent="0.25">
      <c r="A121" s="6"/>
      <c r="B121" s="6"/>
      <c r="C121" s="6"/>
      <c r="D121" s="6"/>
      <c r="E121" s="6"/>
      <c r="F121" s="6"/>
      <c r="G121" s="6"/>
    </row>
    <row r="122" spans="1:12" x14ac:dyDescent="0.25">
      <c r="A122"/>
      <c r="B122"/>
      <c r="C122"/>
      <c r="D122"/>
      <c r="E122"/>
    </row>
    <row r="123" spans="1:12" x14ac:dyDescent="0.25">
      <c r="A123"/>
      <c r="B123"/>
      <c r="C123"/>
      <c r="D123"/>
      <c r="E123"/>
    </row>
    <row r="124" spans="1:12" x14ac:dyDescent="0.25">
      <c r="A124"/>
      <c r="B124"/>
      <c r="C124"/>
      <c r="D124"/>
      <c r="E124"/>
    </row>
  </sheetData>
  <mergeCells count="4">
    <mergeCell ref="A77:K78"/>
    <mergeCell ref="C91:E91"/>
    <mergeCell ref="C20:E20"/>
    <mergeCell ref="F20:H20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FA65-E001-4A96-9ECF-142202926DC4}">
  <dimension ref="A1:R74"/>
  <sheetViews>
    <sheetView zoomScale="130" zoomScaleNormal="130" workbookViewId="0"/>
  </sheetViews>
  <sheetFormatPr defaultColWidth="8.85546875" defaultRowHeight="15.75" x14ac:dyDescent="0.25"/>
  <cols>
    <col min="1" max="1" width="12.85546875" style="1" customWidth="1"/>
    <col min="2" max="2" width="14.7109375" style="1" customWidth="1"/>
    <col min="3" max="3" width="16.85546875" style="1" customWidth="1"/>
    <col min="4" max="4" width="14.7109375" style="1" customWidth="1"/>
    <col min="5" max="5" width="23.28515625" style="1" customWidth="1"/>
    <col min="6" max="7" width="14.7109375" style="1" customWidth="1"/>
    <col min="8" max="8" width="8.85546875" style="1" customWidth="1"/>
    <col min="9" max="16384" width="8.85546875" style="1"/>
  </cols>
  <sheetData>
    <row r="1" spans="1:12" ht="18.75" x14ac:dyDescent="0.3">
      <c r="A1" s="2" t="s">
        <v>84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" t="s">
        <v>85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</row>
    <row r="4" spans="1:12" x14ac:dyDescent="0.25">
      <c r="A4" s="45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47.25" x14ac:dyDescent="0.25">
      <c r="A5" s="45"/>
      <c r="B5" s="33" t="s">
        <v>25</v>
      </c>
      <c r="C5" s="33" t="s">
        <v>26</v>
      </c>
      <c r="D5" s="33" t="s">
        <v>27</v>
      </c>
      <c r="E5" s="33" t="s">
        <v>86</v>
      </c>
      <c r="F5" s="33" t="s">
        <v>87</v>
      </c>
      <c r="G5" s="33" t="s">
        <v>88</v>
      </c>
      <c r="H5" s="8"/>
      <c r="I5" s="8"/>
      <c r="J5" s="8"/>
      <c r="K5" s="8"/>
      <c r="L5" s="8"/>
    </row>
    <row r="6" spans="1:12" x14ac:dyDescent="0.25">
      <c r="A6" s="45"/>
      <c r="B6" s="28">
        <v>2019</v>
      </c>
      <c r="C6" s="29">
        <v>18640</v>
      </c>
      <c r="D6" s="29">
        <v>13086213</v>
      </c>
      <c r="E6" s="29">
        <v>14390080</v>
      </c>
      <c r="F6" s="29">
        <v>8091546</v>
      </c>
      <c r="G6" s="29">
        <v>10866820</v>
      </c>
      <c r="H6" s="8"/>
      <c r="I6" s="8"/>
      <c r="J6" s="8"/>
      <c r="K6" s="8"/>
      <c r="L6" s="8"/>
    </row>
    <row r="7" spans="1:12" x14ac:dyDescent="0.25">
      <c r="A7" s="45"/>
      <c r="B7" s="28">
        <v>2020</v>
      </c>
      <c r="C7" s="29">
        <v>18240</v>
      </c>
      <c r="D7" s="29">
        <v>13193295</v>
      </c>
      <c r="E7" s="29">
        <v>14154240</v>
      </c>
      <c r="F7" s="29">
        <v>7568826</v>
      </c>
      <c r="G7" s="29">
        <v>9735481</v>
      </c>
      <c r="H7" s="8"/>
      <c r="I7" s="8"/>
      <c r="J7" s="8"/>
      <c r="K7" s="8"/>
      <c r="L7" s="8"/>
    </row>
    <row r="8" spans="1:12" x14ac:dyDescent="0.25">
      <c r="A8" s="45"/>
      <c r="B8" s="28">
        <v>2021</v>
      </c>
      <c r="C8" s="29">
        <v>17061</v>
      </c>
      <c r="D8" s="29">
        <v>12668001</v>
      </c>
      <c r="E8" s="29">
        <v>13341702</v>
      </c>
      <c r="F8" s="29">
        <v>7496606</v>
      </c>
      <c r="G8" s="29">
        <v>9235310</v>
      </c>
      <c r="H8" s="8"/>
      <c r="I8" s="8"/>
      <c r="J8" s="8"/>
      <c r="K8" s="8"/>
      <c r="L8" s="8"/>
    </row>
    <row r="9" spans="1:12" x14ac:dyDescent="0.25">
      <c r="A9" s="8"/>
      <c r="B9" s="28">
        <v>2022</v>
      </c>
      <c r="C9" s="29">
        <v>17992</v>
      </c>
      <c r="D9" s="29">
        <v>13202396</v>
      </c>
      <c r="E9" s="29">
        <v>13835848</v>
      </c>
      <c r="F9" s="29">
        <v>8275177</v>
      </c>
      <c r="G9" s="29">
        <v>9763870</v>
      </c>
      <c r="H9" s="8"/>
      <c r="I9" s="8"/>
      <c r="J9" s="8"/>
      <c r="K9" s="8"/>
      <c r="L9" s="8"/>
    </row>
    <row r="10" spans="1:12" x14ac:dyDescent="0.25">
      <c r="A10" s="8"/>
      <c r="B10" s="28">
        <v>2023</v>
      </c>
      <c r="C10" s="29">
        <v>17931</v>
      </c>
      <c r="D10" s="29">
        <v>13491867</v>
      </c>
      <c r="E10" s="29">
        <v>13878594</v>
      </c>
      <c r="F10" s="29">
        <v>9018480</v>
      </c>
      <c r="G10" s="29">
        <v>10191450</v>
      </c>
      <c r="H10" s="8"/>
      <c r="I10" s="8"/>
      <c r="J10" s="8"/>
      <c r="K10" s="8"/>
      <c r="L10" s="8"/>
    </row>
    <row r="11" spans="1:12" x14ac:dyDescent="0.25">
      <c r="A11" s="4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5">
      <c r="A12" s="8"/>
      <c r="B12" s="35" t="s">
        <v>93</v>
      </c>
      <c r="C12" s="8"/>
      <c r="D12" s="36">
        <v>0.08</v>
      </c>
      <c r="E12" s="35"/>
      <c r="F12" s="8"/>
      <c r="G12" s="8"/>
      <c r="H12" s="8"/>
      <c r="I12" s="8"/>
      <c r="J12" s="8"/>
      <c r="K12" s="8"/>
      <c r="L12" s="8"/>
    </row>
    <row r="13" spans="1:12" x14ac:dyDescent="0.25">
      <c r="A13" s="8"/>
      <c r="B13" s="35" t="s">
        <v>94</v>
      </c>
      <c r="C13" s="8"/>
      <c r="D13" s="8"/>
      <c r="E13" s="51">
        <v>7.4999999999999997E-2</v>
      </c>
      <c r="F13" s="38" t="s">
        <v>92</v>
      </c>
      <c r="G13" s="8"/>
      <c r="H13" s="8"/>
      <c r="I13" s="8"/>
      <c r="J13" s="8"/>
      <c r="K13" s="8"/>
      <c r="L13" s="8"/>
    </row>
    <row r="14" spans="1:12" x14ac:dyDescent="0.25">
      <c r="A14" s="8"/>
      <c r="B14" s="35" t="s">
        <v>95</v>
      </c>
      <c r="C14" s="8"/>
      <c r="D14" s="8"/>
      <c r="E14" s="36">
        <v>0.15</v>
      </c>
      <c r="F14" s="38" t="s">
        <v>92</v>
      </c>
      <c r="G14" s="8"/>
      <c r="H14" s="8"/>
      <c r="I14" s="8"/>
      <c r="J14" s="8"/>
      <c r="K14" s="8"/>
      <c r="L14" s="8"/>
    </row>
    <row r="15" spans="1:12" x14ac:dyDescent="0.25">
      <c r="A15" s="8"/>
      <c r="B15" s="35" t="s">
        <v>96</v>
      </c>
      <c r="C15" s="8"/>
      <c r="D15" s="47"/>
      <c r="E15" s="36">
        <v>0.05</v>
      </c>
      <c r="F15" s="38" t="s">
        <v>92</v>
      </c>
      <c r="G15" s="8"/>
      <c r="H15" s="8"/>
      <c r="I15" s="8"/>
      <c r="J15" s="8"/>
      <c r="K15" s="8"/>
      <c r="L15" s="8"/>
    </row>
    <row r="16" spans="1:12" x14ac:dyDescent="0.25">
      <c r="A16" s="8"/>
      <c r="B16" s="35" t="s">
        <v>90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8"/>
      <c r="B17" s="35" t="s">
        <v>91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8" x14ac:dyDescent="0.25">
      <c r="A19" s="8" t="s">
        <v>89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8" x14ac:dyDescent="0.25">
      <c r="A21" s="5" t="s">
        <v>4</v>
      </c>
      <c r="B21" s="8" t="s">
        <v>97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7"/>
      <c r="N21" s="7"/>
      <c r="O21" s="7"/>
      <c r="P21" s="7"/>
      <c r="Q21" s="7"/>
      <c r="R21" s="7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8" x14ac:dyDescent="0.25">
      <c r="A23" s="6" t="s">
        <v>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1:18" ht="31.5" x14ac:dyDescent="0.25">
      <c r="A25" s="125" t="s">
        <v>25</v>
      </c>
      <c r="B25" s="125" t="s">
        <v>26</v>
      </c>
      <c r="C25" s="125" t="s">
        <v>88</v>
      </c>
      <c r="D25" s="125" t="s">
        <v>313</v>
      </c>
      <c r="E25"/>
      <c r="F25" s="6"/>
      <c r="G25" s="6"/>
      <c r="H25" s="6"/>
      <c r="I25" s="6"/>
      <c r="J25" s="6"/>
      <c r="K25" s="6"/>
      <c r="L25" s="6"/>
      <c r="M25" s="6"/>
      <c r="N25" s="7"/>
    </row>
    <row r="26" spans="1:18" x14ac:dyDescent="0.25">
      <c r="A26" s="96">
        <f>B6</f>
        <v>2019</v>
      </c>
      <c r="B26" s="91">
        <f>C6</f>
        <v>18640</v>
      </c>
      <c r="C26" s="91">
        <f>G6</f>
        <v>10866820</v>
      </c>
      <c r="D26" s="136">
        <f>C26/B26</f>
        <v>582.98390557939911</v>
      </c>
      <c r="E26"/>
      <c r="F26" s="6"/>
      <c r="G26" s="6"/>
      <c r="H26" s="6"/>
      <c r="I26" s="6"/>
      <c r="J26" s="6"/>
      <c r="K26" s="6"/>
      <c r="L26" s="6"/>
      <c r="M26" s="6"/>
      <c r="N26" s="7"/>
    </row>
    <row r="27" spans="1:18" x14ac:dyDescent="0.25">
      <c r="A27" s="96">
        <f t="shared" ref="A27:B30" si="0">B7</f>
        <v>2020</v>
      </c>
      <c r="B27" s="91">
        <f t="shared" si="0"/>
        <v>18240</v>
      </c>
      <c r="C27" s="91">
        <f t="shared" ref="C27:C30" si="1">G7</f>
        <v>9735481</v>
      </c>
      <c r="D27" s="136">
        <f t="shared" ref="D27:D30" si="2">C27/B27</f>
        <v>533.74347587719296</v>
      </c>
      <c r="E27"/>
      <c r="F27" s="6"/>
      <c r="G27" s="6"/>
      <c r="H27" s="6"/>
      <c r="I27" s="6"/>
      <c r="J27" s="6"/>
      <c r="K27" s="6"/>
      <c r="L27" s="6"/>
      <c r="M27" s="6"/>
      <c r="N27" s="7"/>
    </row>
    <row r="28" spans="1:18" x14ac:dyDescent="0.25">
      <c r="A28" s="96">
        <f t="shared" si="0"/>
        <v>2021</v>
      </c>
      <c r="B28" s="91">
        <f t="shared" si="0"/>
        <v>17061</v>
      </c>
      <c r="C28" s="91">
        <f t="shared" si="1"/>
        <v>9235310</v>
      </c>
      <c r="D28" s="136">
        <f t="shared" si="2"/>
        <v>541.31117753941737</v>
      </c>
      <c r="E28"/>
      <c r="F28" s="6"/>
      <c r="G28" s="6"/>
      <c r="H28" s="6"/>
      <c r="I28" s="6"/>
      <c r="J28" s="6"/>
      <c r="K28" s="6"/>
      <c r="L28" s="6"/>
      <c r="M28" s="6"/>
      <c r="N28" s="7"/>
    </row>
    <row r="29" spans="1:18" x14ac:dyDescent="0.25">
      <c r="A29" s="96">
        <f t="shared" si="0"/>
        <v>2022</v>
      </c>
      <c r="B29" s="91">
        <f t="shared" si="0"/>
        <v>17992</v>
      </c>
      <c r="C29" s="91">
        <f t="shared" si="1"/>
        <v>9763870</v>
      </c>
      <c r="D29" s="136">
        <f t="shared" si="2"/>
        <v>542.67841262783463</v>
      </c>
      <c r="E29"/>
      <c r="F29" s="6"/>
      <c r="G29" s="6"/>
      <c r="H29" s="6"/>
      <c r="I29" s="6"/>
      <c r="J29" s="6"/>
      <c r="K29" s="6"/>
      <c r="L29" s="6"/>
      <c r="M29" s="6"/>
      <c r="N29" s="7"/>
    </row>
    <row r="30" spans="1:18" x14ac:dyDescent="0.25">
      <c r="A30" s="96">
        <f t="shared" si="0"/>
        <v>2023</v>
      </c>
      <c r="B30" s="91">
        <f t="shared" si="0"/>
        <v>17931</v>
      </c>
      <c r="C30" s="91">
        <f t="shared" si="1"/>
        <v>10191450</v>
      </c>
      <c r="D30" s="136">
        <f t="shared" si="2"/>
        <v>568.37041994311528</v>
      </c>
      <c r="E30"/>
      <c r="F30" s="6"/>
      <c r="G30" s="6"/>
      <c r="H30" s="6"/>
      <c r="I30" s="6"/>
      <c r="J30" s="6"/>
      <c r="K30" s="6"/>
      <c r="L30" s="6"/>
      <c r="M30" s="6"/>
      <c r="N30" s="7"/>
    </row>
    <row r="31" spans="1:18" x14ac:dyDescent="0.25">
      <c r="F31" s="6"/>
      <c r="G31" s="6"/>
      <c r="H31" s="6"/>
      <c r="I31" s="6"/>
      <c r="J31" s="6"/>
      <c r="K31" s="6"/>
      <c r="L31" s="6"/>
      <c r="M31" s="6"/>
      <c r="N31" s="7"/>
    </row>
    <row r="32" spans="1:18" x14ac:dyDescent="0.25">
      <c r="A32" s="1" t="s">
        <v>315</v>
      </c>
      <c r="E32" s="136">
        <f>AVERAGE(D26:D30)</f>
        <v>553.81747831339192</v>
      </c>
      <c r="F32" s="6"/>
      <c r="G32" s="6"/>
      <c r="H32" s="6"/>
      <c r="I32" s="6"/>
      <c r="J32" s="6"/>
      <c r="K32" s="6"/>
      <c r="L32" s="6"/>
      <c r="M32" s="6"/>
      <c r="N32" s="7"/>
    </row>
    <row r="33" spans="1:14" x14ac:dyDescent="0.25">
      <c r="A33" s="1" t="s">
        <v>316</v>
      </c>
      <c r="E33" s="137">
        <f>D12</f>
        <v>0.08</v>
      </c>
      <c r="F33" s="6"/>
      <c r="G33" s="6"/>
      <c r="H33" s="6"/>
      <c r="I33" s="6"/>
      <c r="J33" s="6"/>
      <c r="K33" s="6"/>
      <c r="L33" s="6"/>
      <c r="M33" s="6"/>
      <c r="N33" s="7"/>
    </row>
    <row r="34" spans="1:14" x14ac:dyDescent="0.25">
      <c r="A34" s="1" t="s">
        <v>314</v>
      </c>
      <c r="E34" s="79">
        <f>E13*E10/C10</f>
        <v>58.05</v>
      </c>
      <c r="F34" s="6"/>
      <c r="G34" s="138"/>
      <c r="H34" s="6"/>
      <c r="I34" s="6"/>
      <c r="J34" s="6"/>
      <c r="K34" s="6"/>
      <c r="L34" s="6"/>
      <c r="M34" s="6"/>
      <c r="N34" s="7"/>
    </row>
    <row r="35" spans="1:14" x14ac:dyDescent="0.25">
      <c r="A35" s="1" t="s">
        <v>328</v>
      </c>
      <c r="E35" s="136">
        <f>(E32*(1+E33)+E34)/(1-E14-E15)</f>
        <v>820.21609572307921</v>
      </c>
      <c r="F35" s="6"/>
      <c r="G35" s="6"/>
      <c r="H35" s="6"/>
      <c r="I35" s="6"/>
      <c r="J35" s="6"/>
      <c r="K35" s="6"/>
      <c r="L35" s="6"/>
      <c r="M35" s="6"/>
      <c r="N35" s="7"/>
    </row>
    <row r="36" spans="1:14" x14ac:dyDescent="0.25">
      <c r="F36" s="6"/>
      <c r="G36" s="6"/>
      <c r="H36" s="6"/>
      <c r="I36" s="6"/>
      <c r="J36" s="6"/>
      <c r="K36" s="6"/>
      <c r="L36" s="6"/>
      <c r="M36" s="6"/>
      <c r="N36" s="7"/>
    </row>
    <row r="37" spans="1:14" x14ac:dyDescent="0.25">
      <c r="A37" s="1" t="s">
        <v>312</v>
      </c>
      <c r="E37" s="91">
        <f>E10</f>
        <v>13878594</v>
      </c>
      <c r="F37" s="6"/>
      <c r="G37" s="6"/>
      <c r="H37" s="6"/>
      <c r="I37" s="6"/>
      <c r="J37" s="6"/>
      <c r="K37" s="6"/>
      <c r="L37" s="6"/>
      <c r="M37" s="6"/>
      <c r="N37" s="7"/>
    </row>
    <row r="38" spans="1:14" x14ac:dyDescent="0.25">
      <c r="A38" s="1" t="s">
        <v>317</v>
      </c>
      <c r="E38" s="91">
        <f>C10</f>
        <v>17931</v>
      </c>
      <c r="F38" s="6"/>
      <c r="G38" s="6"/>
      <c r="H38" s="6"/>
      <c r="I38" s="6"/>
      <c r="J38" s="6"/>
      <c r="K38" s="6"/>
      <c r="L38" s="6"/>
      <c r="M38" s="6"/>
      <c r="N38" s="7"/>
    </row>
    <row r="39" spans="1:14" x14ac:dyDescent="0.25">
      <c r="A39" s="1" t="s">
        <v>318</v>
      </c>
      <c r="E39" s="136">
        <f>E37/E38</f>
        <v>774</v>
      </c>
      <c r="F39" s="6"/>
      <c r="G39" s="6"/>
      <c r="H39" s="6"/>
      <c r="I39" s="6"/>
      <c r="J39" s="6"/>
      <c r="K39" s="6"/>
      <c r="L39" s="6"/>
      <c r="M39" s="6"/>
      <c r="N39" s="7"/>
    </row>
    <row r="40" spans="1:14" x14ac:dyDescent="0.25">
      <c r="A40" s="1" t="s">
        <v>329</v>
      </c>
      <c r="E40" s="137">
        <f>E35/E39-1</f>
        <v>5.9710717988474382E-2</v>
      </c>
      <c r="F40" s="6"/>
      <c r="G40" s="6"/>
      <c r="H40" s="6"/>
      <c r="I40" s="6"/>
      <c r="J40" s="6"/>
      <c r="K40" s="6"/>
      <c r="L40" s="6"/>
      <c r="M40" s="6"/>
      <c r="N40" s="7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</row>
    <row r="42" spans="1:14" x14ac:dyDescent="0.25">
      <c r="A42" s="6" t="s">
        <v>319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</row>
    <row r="43" spans="1:14" x14ac:dyDescent="0.25">
      <c r="M43" s="7"/>
      <c r="N43" s="7"/>
    </row>
    <row r="44" spans="1:14" x14ac:dyDescent="0.25">
      <c r="A44" s="3"/>
      <c r="B44" s="3"/>
      <c r="C44" s="3"/>
      <c r="D44" s="3"/>
      <c r="E44" s="3"/>
      <c r="F44" s="3"/>
      <c r="G44" s="4"/>
      <c r="H44" s="4"/>
      <c r="I44" s="4"/>
      <c r="J44" s="4"/>
      <c r="K44" s="4"/>
      <c r="L44" s="4"/>
    </row>
    <row r="45" spans="1:14" x14ac:dyDescent="0.25">
      <c r="A45" s="8" t="s">
        <v>98</v>
      </c>
      <c r="B45" s="3"/>
      <c r="C45" s="3"/>
      <c r="D45" s="3"/>
      <c r="E45" s="3"/>
      <c r="F45" s="3"/>
      <c r="G45" s="4"/>
      <c r="H45" s="4"/>
      <c r="I45" s="4"/>
      <c r="J45" s="4"/>
      <c r="K45" s="4"/>
      <c r="L45" s="4"/>
    </row>
    <row r="47" spans="1:14" x14ac:dyDescent="0.25">
      <c r="A47" s="5" t="s">
        <v>5</v>
      </c>
      <c r="B47" s="8" t="s">
        <v>99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4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 t="s">
        <v>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6" t="s">
        <v>327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3" spans="1:12" x14ac:dyDescent="0.25">
      <c r="A53" s="3"/>
      <c r="B53" s="3"/>
      <c r="C53" s="3"/>
      <c r="D53" s="3"/>
      <c r="E53" s="3"/>
      <c r="F53" s="3"/>
      <c r="G53" s="4"/>
      <c r="H53" s="4"/>
      <c r="I53" s="4"/>
      <c r="J53" s="4"/>
      <c r="K53" s="4"/>
      <c r="L53" s="4"/>
    </row>
    <row r="54" spans="1:12" x14ac:dyDescent="0.25">
      <c r="A54" s="8" t="s">
        <v>103</v>
      </c>
      <c r="B54" s="3"/>
      <c r="C54" s="3"/>
      <c r="D54" s="3"/>
      <c r="E54" s="36">
        <v>0.02</v>
      </c>
      <c r="F54" s="48" t="s">
        <v>104</v>
      </c>
      <c r="G54" s="46">
        <v>5.91E-2</v>
      </c>
      <c r="H54" s="8" t="s">
        <v>102</v>
      </c>
      <c r="I54" s="4"/>
      <c r="J54" s="4"/>
      <c r="K54" s="4"/>
      <c r="L54" s="4"/>
    </row>
    <row r="56" spans="1:12" x14ac:dyDescent="0.25">
      <c r="A56" s="5" t="s">
        <v>0</v>
      </c>
      <c r="B56" s="8" t="s">
        <v>100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A58" s="6" t="s">
        <v>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1" t="s">
        <v>320</v>
      </c>
      <c r="B60"/>
      <c r="D60"/>
      <c r="F60" s="6"/>
      <c r="G60" s="6"/>
      <c r="H60" s="6"/>
      <c r="I60" s="6"/>
      <c r="J60" s="6"/>
      <c r="K60" s="6"/>
      <c r="L60" s="6"/>
    </row>
    <row r="61" spans="1:12" x14ac:dyDescent="0.25">
      <c r="A61" s="1" t="s">
        <v>321</v>
      </c>
      <c r="B61" s="137">
        <f>(1+G54)*(1-E14-E15)-E13</f>
        <v>0.77227999999999997</v>
      </c>
      <c r="D61"/>
      <c r="E61"/>
      <c r="F61" s="6"/>
      <c r="G61" s="6"/>
      <c r="H61" s="6"/>
      <c r="I61" s="6"/>
      <c r="J61" s="6"/>
      <c r="K61" s="6"/>
      <c r="L61" s="6"/>
    </row>
    <row r="62" spans="1:12" x14ac:dyDescent="0.25">
      <c r="A62" s="1" t="s">
        <v>322</v>
      </c>
      <c r="B62"/>
      <c r="D62"/>
      <c r="F62" s="6"/>
      <c r="G62" s="6"/>
      <c r="H62" s="6"/>
      <c r="I62" s="6"/>
      <c r="J62" s="6"/>
      <c r="K62" s="6"/>
      <c r="L62" s="6"/>
    </row>
    <row r="63" spans="1:12" x14ac:dyDescent="0.25">
      <c r="A63" s="1" t="s">
        <v>323</v>
      </c>
      <c r="B63" s="1" t="s">
        <v>324</v>
      </c>
      <c r="D63" s="137">
        <f>1-E14-(B61+E13)/(1+E54)</f>
        <v>1.9333333333333425E-2</v>
      </c>
      <c r="F63" s="6"/>
      <c r="G63" s="6"/>
      <c r="H63" s="6"/>
      <c r="I63" s="6"/>
      <c r="J63" s="6"/>
      <c r="K63" s="6"/>
      <c r="L63" s="6"/>
    </row>
    <row r="65" spans="1:12" x14ac:dyDescent="0.25">
      <c r="A65" s="3"/>
      <c r="B65" s="3"/>
      <c r="C65" s="3"/>
      <c r="D65" s="3"/>
      <c r="E65" s="3"/>
      <c r="F65" s="3"/>
      <c r="G65" s="4"/>
      <c r="H65" s="4"/>
      <c r="I65" s="4"/>
      <c r="J65" s="4"/>
      <c r="K65" s="4"/>
      <c r="L65" s="4"/>
    </row>
    <row r="66" spans="1:12" x14ac:dyDescent="0.25">
      <c r="A66" s="8" t="s">
        <v>233</v>
      </c>
      <c r="B66" s="3"/>
      <c r="C66" s="3"/>
      <c r="D66" s="3"/>
      <c r="E66" s="3"/>
      <c r="F66" s="3"/>
      <c r="G66" s="4"/>
      <c r="H66" s="4"/>
      <c r="I66" s="4"/>
      <c r="J66" s="4"/>
      <c r="K66" s="4"/>
      <c r="L66" s="4"/>
    </row>
    <row r="68" spans="1:12" x14ac:dyDescent="0.25">
      <c r="A68" s="5" t="s">
        <v>2</v>
      </c>
      <c r="B68" s="261" t="s">
        <v>101</v>
      </c>
      <c r="C68" s="261"/>
      <c r="D68" s="261"/>
      <c r="E68" s="261"/>
      <c r="F68" s="261"/>
      <c r="G68" s="261"/>
      <c r="H68" s="261"/>
      <c r="I68" s="261"/>
      <c r="J68" s="261"/>
      <c r="K68" s="261"/>
      <c r="L68" s="261"/>
    </row>
    <row r="69" spans="1:12" x14ac:dyDescent="0.25">
      <c r="A69" s="5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</row>
    <row r="70" spans="1:1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 t="s">
        <v>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1" t="s">
        <v>326</v>
      </c>
    </row>
    <row r="74" spans="1:12" x14ac:dyDescent="0.25">
      <c r="A74" s="1" t="s">
        <v>325</v>
      </c>
    </row>
  </sheetData>
  <mergeCells count="1">
    <mergeCell ref="B68:L6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9D53-193A-400F-BE28-AD95E481AAB5}">
  <dimension ref="A1:R63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5" width="14.7109375" style="1" customWidth="1"/>
    <col min="6" max="6" width="18" style="1" customWidth="1"/>
    <col min="7" max="7" width="14.7109375" style="1" customWidth="1"/>
    <col min="8" max="8" width="8.85546875" style="1" customWidth="1"/>
    <col min="9" max="16384" width="8.85546875" style="1"/>
  </cols>
  <sheetData>
    <row r="1" spans="1:12" ht="18.75" x14ac:dyDescent="0.3">
      <c r="A1" s="2" t="s">
        <v>105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" t="s">
        <v>85</v>
      </c>
      <c r="B3" s="8"/>
      <c r="C3" s="8"/>
      <c r="D3" s="8"/>
      <c r="E3" s="8"/>
      <c r="F3" s="8"/>
      <c r="G3" s="8"/>
      <c r="H3" s="8"/>
      <c r="I3" s="8"/>
      <c r="J3" s="8"/>
      <c r="K3" s="4"/>
      <c r="L3" s="3"/>
    </row>
    <row r="4" spans="1:12" x14ac:dyDescent="0.25">
      <c r="A4" s="45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63" x14ac:dyDescent="0.25">
      <c r="A5" s="45"/>
      <c r="B5" s="33" t="s">
        <v>69</v>
      </c>
      <c r="C5" s="33" t="s">
        <v>26</v>
      </c>
      <c r="D5" s="33" t="s">
        <v>106</v>
      </c>
      <c r="E5" s="33" t="s">
        <v>107</v>
      </c>
      <c r="F5" s="33" t="s">
        <v>108</v>
      </c>
      <c r="G5" s="33" t="s">
        <v>109</v>
      </c>
      <c r="H5" s="8"/>
      <c r="I5" s="8"/>
      <c r="J5" s="8"/>
      <c r="K5" s="8"/>
      <c r="L5" s="8"/>
    </row>
    <row r="6" spans="1:12" x14ac:dyDescent="0.25">
      <c r="A6" s="45"/>
      <c r="B6" s="28">
        <v>2019</v>
      </c>
      <c r="C6" s="29">
        <v>25800</v>
      </c>
      <c r="D6" s="29">
        <v>19350000</v>
      </c>
      <c r="E6" s="29">
        <v>18990120</v>
      </c>
      <c r="F6" s="29">
        <v>2515500</v>
      </c>
      <c r="G6" s="29">
        <v>1450000</v>
      </c>
      <c r="H6" s="8"/>
      <c r="I6" s="8"/>
      <c r="J6" s="8"/>
      <c r="K6" s="8"/>
      <c r="L6" s="8"/>
    </row>
    <row r="7" spans="1:12" x14ac:dyDescent="0.25">
      <c r="A7" s="45"/>
      <c r="B7" s="28">
        <v>2020</v>
      </c>
      <c r="C7" s="29">
        <v>24500</v>
      </c>
      <c r="D7" s="29">
        <v>19042510</v>
      </c>
      <c r="E7" s="29">
        <v>18724770</v>
      </c>
      <c r="F7" s="29">
        <v>2475500</v>
      </c>
      <c r="G7" s="29">
        <v>1420000</v>
      </c>
      <c r="H7" s="8"/>
      <c r="I7" s="8"/>
      <c r="J7" s="8"/>
      <c r="K7" s="8"/>
      <c r="L7" s="8"/>
    </row>
    <row r="8" spans="1:12" x14ac:dyDescent="0.25">
      <c r="A8" s="45"/>
      <c r="B8" s="28">
        <v>2021</v>
      </c>
      <c r="C8" s="29">
        <v>23100</v>
      </c>
      <c r="D8" s="29">
        <v>18507860</v>
      </c>
      <c r="E8" s="29">
        <v>18240290</v>
      </c>
      <c r="F8" s="29">
        <v>2313500</v>
      </c>
      <c r="G8" s="29">
        <v>1440000</v>
      </c>
      <c r="H8" s="8"/>
      <c r="I8" s="8"/>
      <c r="J8" s="8"/>
      <c r="K8" s="8"/>
      <c r="L8" s="8"/>
    </row>
    <row r="9" spans="1:12" x14ac:dyDescent="0.25">
      <c r="A9" s="8"/>
      <c r="B9" s="28">
        <v>2022</v>
      </c>
      <c r="C9" s="29">
        <v>21900</v>
      </c>
      <c r="D9" s="29">
        <v>18094650</v>
      </c>
      <c r="E9" s="29">
        <v>17753030</v>
      </c>
      <c r="F9" s="29">
        <v>2171400</v>
      </c>
      <c r="G9" s="29">
        <v>1420000</v>
      </c>
      <c r="H9" s="8"/>
      <c r="I9" s="8"/>
      <c r="J9" s="8"/>
      <c r="K9" s="8"/>
      <c r="L9" s="8"/>
    </row>
    <row r="10" spans="1:12" x14ac:dyDescent="0.25">
      <c r="A10" s="8"/>
      <c r="B10" s="28">
        <v>2023</v>
      </c>
      <c r="C10" s="29">
        <v>20750</v>
      </c>
      <c r="D10" s="29">
        <v>17771250</v>
      </c>
      <c r="E10" s="29">
        <v>17447750</v>
      </c>
      <c r="F10" s="29">
        <v>2132600</v>
      </c>
      <c r="G10" s="29">
        <v>1390000</v>
      </c>
      <c r="H10" s="8"/>
      <c r="I10" s="8"/>
      <c r="J10" s="8"/>
      <c r="K10" s="8"/>
      <c r="L10" s="8"/>
    </row>
    <row r="11" spans="1:12" x14ac:dyDescent="0.25">
      <c r="A11" s="4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5">
      <c r="A12" s="8"/>
      <c r="B12" s="35" t="s">
        <v>115</v>
      </c>
      <c r="C12" s="8"/>
      <c r="D12" s="36">
        <v>0.4</v>
      </c>
      <c r="E12" s="38" t="s">
        <v>230</v>
      </c>
      <c r="F12" s="8"/>
      <c r="G12" s="8"/>
      <c r="H12" s="8"/>
      <c r="I12" s="8"/>
      <c r="J12" s="8"/>
      <c r="K12" s="8"/>
      <c r="L12" s="8"/>
    </row>
    <row r="13" spans="1:12" x14ac:dyDescent="0.25">
      <c r="A13" s="4"/>
      <c r="B13" s="35" t="s">
        <v>116</v>
      </c>
      <c r="C13" s="4"/>
      <c r="D13" s="4"/>
      <c r="E13" s="36">
        <v>0.02</v>
      </c>
      <c r="F13" s="4"/>
      <c r="G13" s="4"/>
      <c r="H13" s="8"/>
      <c r="I13" s="8"/>
      <c r="J13" s="8"/>
      <c r="K13" s="8"/>
      <c r="L13" s="8"/>
    </row>
    <row r="14" spans="1:12" x14ac:dyDescent="0.25">
      <c r="A14" s="4"/>
      <c r="B14" s="35" t="s">
        <v>110</v>
      </c>
      <c r="C14" s="4"/>
      <c r="D14" s="4"/>
      <c r="E14" s="4"/>
      <c r="F14" s="4"/>
      <c r="G14" s="4"/>
      <c r="H14" s="8"/>
      <c r="I14" s="8"/>
      <c r="J14" s="8"/>
      <c r="K14" s="8"/>
      <c r="L14" s="8"/>
    </row>
    <row r="15" spans="1:12" x14ac:dyDescent="0.25">
      <c r="A15" s="4"/>
      <c r="B15" s="35" t="s">
        <v>111</v>
      </c>
      <c r="C15" s="4"/>
      <c r="D15" s="4"/>
      <c r="E15" s="4"/>
      <c r="F15" s="4"/>
      <c r="G15" s="4"/>
      <c r="H15" s="8"/>
      <c r="I15" s="8"/>
      <c r="J15" s="8"/>
      <c r="K15" s="8"/>
      <c r="L15" s="8"/>
    </row>
    <row r="16" spans="1:12" x14ac:dyDescent="0.25">
      <c r="A16" s="8"/>
      <c r="B16" s="35" t="s">
        <v>112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8"/>
      <c r="B17" s="35" t="s">
        <v>117</v>
      </c>
      <c r="C17" s="8"/>
      <c r="D17" s="49">
        <v>45839</v>
      </c>
      <c r="E17" s="38" t="s">
        <v>118</v>
      </c>
      <c r="F17" s="8"/>
      <c r="G17" s="8"/>
      <c r="H17" s="8"/>
      <c r="I17" s="8"/>
      <c r="J17" s="8"/>
      <c r="K17" s="8"/>
      <c r="L17" s="8"/>
    </row>
    <row r="18" spans="1:18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x14ac:dyDescent="0.25">
      <c r="A19" s="5" t="s">
        <v>4</v>
      </c>
      <c r="B19" s="8" t="s">
        <v>231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7"/>
      <c r="N19" s="7"/>
      <c r="O19" s="7"/>
      <c r="P19" s="7"/>
      <c r="Q19" s="7"/>
      <c r="R19" s="7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8" x14ac:dyDescent="0.25">
      <c r="A21" s="6" t="s">
        <v>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8" x14ac:dyDescent="0.25">
      <c r="A22" s="6"/>
      <c r="C22" s="139" t="s">
        <v>109</v>
      </c>
      <c r="D22" s="139"/>
      <c r="G22" s="6"/>
      <c r="H22" s="6"/>
      <c r="I22" s="6"/>
      <c r="J22" s="6"/>
      <c r="K22" s="6"/>
      <c r="L22" s="6"/>
      <c r="M22" s="6"/>
      <c r="N22" s="7"/>
    </row>
    <row r="23" spans="1:18" ht="63" x14ac:dyDescent="0.25">
      <c r="A23" s="6"/>
      <c r="B23" s="125" t="s">
        <v>69</v>
      </c>
      <c r="C23" s="125" t="s">
        <v>330</v>
      </c>
      <c r="D23" s="125" t="s">
        <v>331</v>
      </c>
      <c r="E23" s="125" t="s">
        <v>332</v>
      </c>
      <c r="F23" s="125" t="s">
        <v>333</v>
      </c>
      <c r="G23" s="6"/>
      <c r="H23" s="6"/>
      <c r="I23" s="6"/>
      <c r="J23" s="6"/>
      <c r="K23" s="6"/>
      <c r="L23" s="6"/>
      <c r="M23" s="6"/>
      <c r="N23" s="7"/>
    </row>
    <row r="24" spans="1:18" x14ac:dyDescent="0.25">
      <c r="A24" s="6"/>
      <c r="B24" s="96">
        <f>B6</f>
        <v>2019</v>
      </c>
      <c r="C24" s="91">
        <f>G6*(1-$D$12)</f>
        <v>870000</v>
      </c>
      <c r="D24" s="140">
        <f>C24/E6</f>
        <v>4.5813296598441716E-2</v>
      </c>
      <c r="E24" s="98">
        <f>F6/D6</f>
        <v>0.13</v>
      </c>
      <c r="F24" s="140">
        <f>D24+E24</f>
        <v>0.17581329659844172</v>
      </c>
      <c r="G24" s="6"/>
      <c r="H24" s="6"/>
      <c r="I24" s="6"/>
      <c r="J24" s="6"/>
      <c r="K24" s="6"/>
      <c r="L24" s="6"/>
      <c r="M24" s="6"/>
      <c r="N24" s="7"/>
    </row>
    <row r="25" spans="1:18" x14ac:dyDescent="0.25">
      <c r="A25" s="6"/>
      <c r="B25" s="96">
        <f>B24+1</f>
        <v>2020</v>
      </c>
      <c r="C25" s="91">
        <f t="shared" ref="C25:C28" si="0">G7*(1-$D$12)</f>
        <v>852000</v>
      </c>
      <c r="D25" s="140">
        <f>C25/E7</f>
        <v>4.5501226450311537E-2</v>
      </c>
      <c r="E25" s="98">
        <f>F7/D7</f>
        <v>0.12999861887954897</v>
      </c>
      <c r="F25" s="140">
        <f t="shared" ref="F25:F28" si="1">D25+E25</f>
        <v>0.17549984532986052</v>
      </c>
      <c r="G25" s="6"/>
      <c r="H25" s="6"/>
      <c r="I25" s="6"/>
      <c r="J25" s="6"/>
      <c r="K25" s="6"/>
      <c r="L25" s="6"/>
      <c r="M25" s="6"/>
      <c r="N25" s="7"/>
    </row>
    <row r="26" spans="1:18" x14ac:dyDescent="0.25">
      <c r="A26" s="6"/>
      <c r="B26" s="96">
        <f>B25+1</f>
        <v>2021</v>
      </c>
      <c r="C26" s="91">
        <f t="shared" si="0"/>
        <v>864000</v>
      </c>
      <c r="D26" s="140">
        <f>C26/E8</f>
        <v>4.7367667948261791E-2</v>
      </c>
      <c r="E26" s="98">
        <f>F8/D8</f>
        <v>0.12500094554421742</v>
      </c>
      <c r="F26" s="140">
        <f t="shared" si="1"/>
        <v>0.17236861349247923</v>
      </c>
      <c r="G26" s="6"/>
      <c r="H26" s="6"/>
      <c r="I26" s="6"/>
      <c r="J26" s="6"/>
      <c r="K26" s="6"/>
      <c r="L26" s="6"/>
      <c r="M26" s="6"/>
      <c r="N26" s="7"/>
    </row>
    <row r="27" spans="1:18" x14ac:dyDescent="0.25">
      <c r="A27" s="6"/>
      <c r="B27" s="96">
        <f t="shared" ref="B27:B28" si="2">B26+1</f>
        <v>2022</v>
      </c>
      <c r="C27" s="91">
        <f t="shared" si="0"/>
        <v>852000</v>
      </c>
      <c r="D27" s="140">
        <f>C27/E9</f>
        <v>4.7991807595661136E-2</v>
      </c>
      <c r="E27" s="98">
        <f>F9/D9</f>
        <v>0.12000232112806825</v>
      </c>
      <c r="F27" s="140">
        <f t="shared" si="1"/>
        <v>0.16799412872372937</v>
      </c>
      <c r="G27" s="6"/>
      <c r="H27" s="6"/>
      <c r="I27" s="6"/>
      <c r="J27" s="6"/>
      <c r="K27" s="6"/>
      <c r="L27" s="6"/>
      <c r="M27" s="6"/>
      <c r="N27" s="7"/>
    </row>
    <row r="28" spans="1:18" x14ac:dyDescent="0.25">
      <c r="A28" s="6"/>
      <c r="B28" s="96">
        <f t="shared" si="2"/>
        <v>2023</v>
      </c>
      <c r="C28" s="91">
        <f t="shared" si="0"/>
        <v>834000</v>
      </c>
      <c r="D28" s="140">
        <f>C28/E10</f>
        <v>4.7799859580748234E-2</v>
      </c>
      <c r="E28" s="98">
        <f>F10/D10</f>
        <v>0.12000281353309418</v>
      </c>
      <c r="F28" s="140">
        <f t="shared" si="1"/>
        <v>0.16780267311384242</v>
      </c>
      <c r="G28" s="6"/>
      <c r="H28" s="6"/>
      <c r="I28" s="6"/>
      <c r="J28" s="6"/>
      <c r="K28" s="6"/>
      <c r="L28" s="6"/>
      <c r="M28" s="6"/>
      <c r="N28" s="7"/>
    </row>
    <row r="30" spans="1:18" x14ac:dyDescent="0.25">
      <c r="A30" s="5" t="s">
        <v>5</v>
      </c>
      <c r="B30" s="8" t="s">
        <v>113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8" x14ac:dyDescent="0.25">
      <c r="A32" s="6" t="s">
        <v>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63" x14ac:dyDescent="0.25">
      <c r="A33" s="6"/>
      <c r="B33" s="125" t="s">
        <v>69</v>
      </c>
      <c r="C33" s="125" t="s">
        <v>334</v>
      </c>
      <c r="D33" s="125" t="s">
        <v>332</v>
      </c>
      <c r="E33" s="125" t="s">
        <v>333</v>
      </c>
      <c r="G33" s="6"/>
      <c r="H33" s="6"/>
      <c r="I33" s="6"/>
      <c r="J33" s="6"/>
      <c r="K33" s="6"/>
      <c r="L33" s="6"/>
    </row>
    <row r="34" spans="1:12" x14ac:dyDescent="0.25">
      <c r="B34" s="96">
        <f>B6</f>
        <v>2019</v>
      </c>
      <c r="C34" s="140">
        <f t="shared" ref="C34:E38" si="3">D24</f>
        <v>4.5813296598441716E-2</v>
      </c>
      <c r="D34" s="140">
        <f t="shared" si="3"/>
        <v>0.13</v>
      </c>
      <c r="E34" s="140">
        <f t="shared" si="3"/>
        <v>0.17581329659844172</v>
      </c>
    </row>
    <row r="35" spans="1:12" x14ac:dyDescent="0.25">
      <c r="B35" s="96">
        <f>B7</f>
        <v>2020</v>
      </c>
      <c r="C35" s="140">
        <f t="shared" si="3"/>
        <v>4.5501226450311537E-2</v>
      </c>
      <c r="D35" s="140">
        <f t="shared" si="3"/>
        <v>0.12999861887954897</v>
      </c>
      <c r="E35" s="140">
        <f t="shared" si="3"/>
        <v>0.17549984532986052</v>
      </c>
    </row>
    <row r="36" spans="1:12" x14ac:dyDescent="0.25">
      <c r="B36" s="96">
        <f>B8</f>
        <v>2021</v>
      </c>
      <c r="C36" s="140">
        <f t="shared" si="3"/>
        <v>4.7367667948261791E-2</v>
      </c>
      <c r="D36" s="140">
        <f t="shared" si="3"/>
        <v>0.12500094554421742</v>
      </c>
      <c r="E36" s="140">
        <f t="shared" si="3"/>
        <v>0.17236861349247923</v>
      </c>
    </row>
    <row r="37" spans="1:12" x14ac:dyDescent="0.25">
      <c r="B37" s="96">
        <f>B9</f>
        <v>2022</v>
      </c>
      <c r="C37" s="140">
        <f t="shared" si="3"/>
        <v>4.7991807595661136E-2</v>
      </c>
      <c r="D37" s="140">
        <f t="shared" si="3"/>
        <v>0.12000232112806825</v>
      </c>
      <c r="E37" s="140">
        <f t="shared" si="3"/>
        <v>0.16799412872372937</v>
      </c>
    </row>
    <row r="38" spans="1:12" x14ac:dyDescent="0.25">
      <c r="B38" s="85">
        <f>B10</f>
        <v>2023</v>
      </c>
      <c r="C38" s="141">
        <f t="shared" si="3"/>
        <v>4.7799859580748234E-2</v>
      </c>
      <c r="D38" s="141">
        <f t="shared" si="3"/>
        <v>0.12000281353309418</v>
      </c>
      <c r="E38" s="141">
        <f t="shared" si="3"/>
        <v>0.16780267311384242</v>
      </c>
    </row>
    <row r="39" spans="1:12" x14ac:dyDescent="0.25">
      <c r="B39" s="1" t="s">
        <v>248</v>
      </c>
      <c r="C39" s="140">
        <f>AVERAGE(C34:C38)</f>
        <v>4.6894771634684883E-2</v>
      </c>
      <c r="D39" s="140">
        <f t="shared" ref="D39:E39" si="4">AVERAGE(D34:D38)</f>
        <v>0.12500093981698576</v>
      </c>
      <c r="E39" s="140">
        <f t="shared" si="4"/>
        <v>0.17189571145167065</v>
      </c>
    </row>
    <row r="41" spans="1:12" x14ac:dyDescent="0.25">
      <c r="B41" s="1" t="s">
        <v>335</v>
      </c>
      <c r="C41" s="140">
        <f>AVERAGE(C36:C38)</f>
        <v>4.7719778374890387E-2</v>
      </c>
      <c r="D41" s="140">
        <f>D38</f>
        <v>0.12000281353309418</v>
      </c>
      <c r="E41" s="140">
        <f>C41+D41</f>
        <v>0.16772259190798455</v>
      </c>
    </row>
    <row r="43" spans="1:12" x14ac:dyDescent="0.25">
      <c r="B43" s="1" t="s">
        <v>293</v>
      </c>
      <c r="C43" s="1" t="s">
        <v>336</v>
      </c>
    </row>
    <row r="44" spans="1:12" x14ac:dyDescent="0.25">
      <c r="C44" s="1" t="s">
        <v>337</v>
      </c>
    </row>
    <row r="46" spans="1:12" x14ac:dyDescent="0.25">
      <c r="A46" s="5" t="s">
        <v>0</v>
      </c>
      <c r="B46" s="8" t="s">
        <v>114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5">
      <c r="A48" s="6" t="s">
        <v>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2:8" x14ac:dyDescent="0.25">
      <c r="B49" s="1" t="s">
        <v>349</v>
      </c>
      <c r="D49" s="142"/>
    </row>
    <row r="50" spans="2:8" x14ac:dyDescent="0.25">
      <c r="B50" s="1" t="s">
        <v>344</v>
      </c>
      <c r="D50" s="142"/>
    </row>
    <row r="51" spans="2:8" x14ac:dyDescent="0.25">
      <c r="B51" s="1" t="s">
        <v>345</v>
      </c>
      <c r="D51" s="142"/>
      <c r="E51" s="144">
        <v>45108</v>
      </c>
    </row>
    <row r="52" spans="2:8" x14ac:dyDescent="0.25">
      <c r="B52" s="1" t="s">
        <v>346</v>
      </c>
      <c r="D52" s="142"/>
      <c r="E52" s="144">
        <v>46023</v>
      </c>
    </row>
    <row r="53" spans="2:8" x14ac:dyDescent="0.25">
      <c r="B53" s="1" t="s">
        <v>347</v>
      </c>
      <c r="E53" s="96">
        <f>DATEDIF(E51,E52,"M")/12</f>
        <v>2.5</v>
      </c>
      <c r="F53" s="1" t="s">
        <v>338</v>
      </c>
      <c r="G53" s="96"/>
    </row>
    <row r="54" spans="2:8" x14ac:dyDescent="0.25">
      <c r="C54" s="146"/>
      <c r="D54" s="146"/>
      <c r="E54" s="146"/>
      <c r="F54" s="146"/>
      <c r="G54" s="146"/>
    </row>
    <row r="55" spans="2:8" ht="47.25" x14ac:dyDescent="0.25">
      <c r="B55" s="125" t="s">
        <v>69</v>
      </c>
      <c r="C55" s="125" t="s">
        <v>339</v>
      </c>
      <c r="D55" s="125" t="s">
        <v>340</v>
      </c>
      <c r="E55" s="125" t="s">
        <v>341</v>
      </c>
      <c r="F55" s="125" t="s">
        <v>342</v>
      </c>
      <c r="G55" s="125" t="s">
        <v>343</v>
      </c>
    </row>
    <row r="56" spans="2:8" x14ac:dyDescent="0.25">
      <c r="B56" s="96">
        <f>B6</f>
        <v>2019</v>
      </c>
      <c r="C56" s="91">
        <f>G6*$D$12</f>
        <v>580000</v>
      </c>
      <c r="D56" s="136">
        <f>C56/C6</f>
        <v>22.480620155038761</v>
      </c>
      <c r="E56" s="96">
        <f t="shared" ref="E56:E58" si="5">E57+1</f>
        <v>6.5</v>
      </c>
      <c r="F56" s="143">
        <f>(1+$E$13)^E56</f>
        <v>1.1373682914754555</v>
      </c>
      <c r="G56" s="136">
        <f>F56*D56</f>
        <v>25.568744537045124</v>
      </c>
    </row>
    <row r="57" spans="2:8" x14ac:dyDescent="0.25">
      <c r="B57" s="96">
        <f>B7</f>
        <v>2020</v>
      </c>
      <c r="C57" s="91">
        <f t="shared" ref="C57:C60" si="6">G7*$D$12</f>
        <v>568000</v>
      </c>
      <c r="D57" s="136">
        <f>C57/C7</f>
        <v>23.183673469387756</v>
      </c>
      <c r="E57" s="96">
        <f t="shared" si="5"/>
        <v>5.5</v>
      </c>
      <c r="F57" s="143">
        <f t="shared" ref="F57:F60" si="7">(1+$E$13)^E57</f>
        <v>1.115066952426917</v>
      </c>
      <c r="G57" s="136">
        <f t="shared" ref="G57:G60" si="8">F57*D57</f>
        <v>25.851348121570975</v>
      </c>
    </row>
    <row r="58" spans="2:8" x14ac:dyDescent="0.25">
      <c r="B58" s="96">
        <f>B8</f>
        <v>2021</v>
      </c>
      <c r="C58" s="91">
        <f t="shared" si="6"/>
        <v>576000</v>
      </c>
      <c r="D58" s="136">
        <f>C58/C8</f>
        <v>24.935064935064936</v>
      </c>
      <c r="E58" s="96">
        <f t="shared" si="5"/>
        <v>4.5</v>
      </c>
      <c r="F58" s="143">
        <f t="shared" si="7"/>
        <v>1.0932028945361931</v>
      </c>
      <c r="G58" s="136">
        <f t="shared" si="8"/>
        <v>27.25908516246092</v>
      </c>
      <c r="H58" s="84"/>
    </row>
    <row r="59" spans="2:8" x14ac:dyDescent="0.25">
      <c r="B59" s="96">
        <f>B9</f>
        <v>2022</v>
      </c>
      <c r="C59" s="91">
        <f t="shared" si="6"/>
        <v>568000</v>
      </c>
      <c r="D59" s="136">
        <f>C59/C9</f>
        <v>25.93607305936073</v>
      </c>
      <c r="E59" s="96">
        <f>E60+1</f>
        <v>3.5</v>
      </c>
      <c r="F59" s="143">
        <f t="shared" si="7"/>
        <v>1.0717675436629344</v>
      </c>
      <c r="G59" s="136">
        <f t="shared" si="8"/>
        <v>27.797441315093458</v>
      </c>
      <c r="H59" s="84"/>
    </row>
    <row r="60" spans="2:8" x14ac:dyDescent="0.25">
      <c r="B60" s="96">
        <f>B10</f>
        <v>2023</v>
      </c>
      <c r="C60" s="91">
        <f t="shared" si="6"/>
        <v>556000</v>
      </c>
      <c r="D60" s="136">
        <f>C60/C10</f>
        <v>26.795180722891565</v>
      </c>
      <c r="E60" s="96">
        <f>E53</f>
        <v>2.5</v>
      </c>
      <c r="F60" s="143">
        <f t="shared" si="7"/>
        <v>1.0507524937871906</v>
      </c>
      <c r="G60" s="136">
        <f t="shared" si="8"/>
        <v>28.15510296605677</v>
      </c>
      <c r="H60" s="84"/>
    </row>
    <row r="62" spans="2:8" x14ac:dyDescent="0.25">
      <c r="B62" s="145" t="s">
        <v>335</v>
      </c>
      <c r="G62" s="136">
        <f>AVERAGE(G58:G60)</f>
        <v>27.737209814537049</v>
      </c>
    </row>
    <row r="63" spans="2:8" x14ac:dyDescent="0.25">
      <c r="B63" s="1" t="s">
        <v>348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3AD8-DA84-4AAB-89C0-5E1A2E4224C0}">
  <dimension ref="A1:L4"/>
  <sheetViews>
    <sheetView zoomScale="120" zoomScaleNormal="120" workbookViewId="0"/>
  </sheetViews>
  <sheetFormatPr defaultColWidth="8.85546875" defaultRowHeight="15.75" x14ac:dyDescent="0.25"/>
  <cols>
    <col min="1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119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10" t="s">
        <v>120</v>
      </c>
      <c r="B3" s="4"/>
      <c r="C3" s="4"/>
      <c r="D3" s="4"/>
      <c r="E3" s="4"/>
      <c r="F3" s="4"/>
      <c r="G3" s="4"/>
      <c r="H3" s="8"/>
      <c r="I3" s="8"/>
      <c r="J3" s="8"/>
      <c r="K3" s="8"/>
      <c r="L3" s="8"/>
    </row>
    <row r="4" spans="1:12" x14ac:dyDescent="0.25">
      <c r="A4" s="4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B5BD-30EF-41EF-82A4-159D7D65743F}">
  <dimension ref="A1:R52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12" width="10.7109375" style="1" customWidth="1"/>
    <col min="13" max="16384" width="8.85546875" style="1"/>
  </cols>
  <sheetData>
    <row r="1" spans="1:18" ht="18.75" x14ac:dyDescent="0.3">
      <c r="A1" s="2" t="s">
        <v>121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4" t="s">
        <v>122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25">
      <c r="A5" s="5" t="s">
        <v>4</v>
      </c>
      <c r="B5" s="8" t="s">
        <v>123</v>
      </c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  <c r="Q5" s="7"/>
      <c r="R5" s="7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2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 t="s">
        <v>350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1" spans="1:18" x14ac:dyDescent="0.25">
      <c r="A11" s="5" t="s">
        <v>5</v>
      </c>
      <c r="B11" s="8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8" x14ac:dyDescent="0.25">
      <c r="A13" s="6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8" x14ac:dyDescent="0.25">
      <c r="A15" s="6" t="s">
        <v>351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7" spans="1:12" x14ac:dyDescent="0.25">
      <c r="A17" s="5" t="s">
        <v>0</v>
      </c>
      <c r="B17" s="8" t="s">
        <v>125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 t="s">
        <v>275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111" t="s">
        <v>352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111" t="s">
        <v>353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111" t="s">
        <v>354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111" t="s">
        <v>355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111" t="s">
        <v>356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111" t="s">
        <v>357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111" t="s">
        <v>358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30" spans="1:12" x14ac:dyDescent="0.25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</row>
    <row r="31" spans="1:12" x14ac:dyDescent="0.25">
      <c r="A31" s="44" t="s">
        <v>126</v>
      </c>
      <c r="B31" s="8"/>
      <c r="C31" s="8"/>
      <c r="D31" s="8"/>
      <c r="E31" s="8"/>
      <c r="F31" s="8"/>
      <c r="G31" s="8"/>
      <c r="H31" s="8"/>
      <c r="I31" s="4"/>
      <c r="J31" s="4"/>
      <c r="K31" s="4"/>
      <c r="L31" s="4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4"/>
      <c r="J32" s="4"/>
      <c r="K32" s="4"/>
      <c r="L32" s="4"/>
    </row>
    <row r="33" spans="1:12" x14ac:dyDescent="0.25">
      <c r="A33" s="8"/>
      <c r="B33" s="35" t="s">
        <v>127</v>
      </c>
      <c r="C33" s="8"/>
      <c r="D33" s="8"/>
      <c r="E33" s="8"/>
      <c r="F33" s="8"/>
      <c r="G33" s="8"/>
      <c r="H33" s="8"/>
      <c r="I33" s="4"/>
      <c r="J33" s="4"/>
      <c r="K33" s="4"/>
      <c r="L33" s="4"/>
    </row>
    <row r="34" spans="1:12" x14ac:dyDescent="0.25">
      <c r="A34" s="8"/>
      <c r="B34" s="35" t="s">
        <v>128</v>
      </c>
      <c r="C34" s="8"/>
      <c r="D34" s="8"/>
      <c r="E34" s="8"/>
      <c r="F34" s="8"/>
      <c r="G34" s="8"/>
      <c r="H34" s="8"/>
      <c r="I34" s="4"/>
      <c r="J34" s="4"/>
      <c r="K34" s="4"/>
      <c r="L34" s="4"/>
    </row>
    <row r="35" spans="1:12" x14ac:dyDescent="0.25">
      <c r="A35" s="8"/>
      <c r="B35" s="35" t="s">
        <v>232</v>
      </c>
      <c r="C35" s="8"/>
      <c r="D35" s="8"/>
      <c r="E35" s="8"/>
      <c r="F35" s="8"/>
      <c r="G35" s="8"/>
      <c r="H35" s="8"/>
      <c r="I35" s="4"/>
      <c r="J35" s="4"/>
      <c r="K35" s="4"/>
      <c r="L35" s="4"/>
    </row>
    <row r="36" spans="1:12" x14ac:dyDescent="0.25">
      <c r="A36" s="8"/>
      <c r="B36" s="35" t="s">
        <v>129</v>
      </c>
      <c r="C36" s="8"/>
      <c r="D36" s="8"/>
      <c r="E36" s="8"/>
      <c r="F36" s="8"/>
      <c r="G36" s="8"/>
      <c r="H36" s="8"/>
      <c r="I36" s="4"/>
      <c r="J36" s="4"/>
      <c r="K36" s="4"/>
      <c r="L36" s="4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4"/>
      <c r="J37" s="4"/>
      <c r="K37" s="4"/>
      <c r="L37" s="4"/>
    </row>
    <row r="38" spans="1:12" x14ac:dyDescent="0.25">
      <c r="A38" s="8"/>
      <c r="B38" s="8"/>
      <c r="C38" s="50" t="s">
        <v>130</v>
      </c>
      <c r="D38" s="8"/>
      <c r="E38" s="47"/>
      <c r="F38" s="8"/>
      <c r="G38" s="8"/>
      <c r="H38" s="8"/>
      <c r="I38" s="4"/>
      <c r="J38" s="4"/>
      <c r="K38" s="4"/>
      <c r="L38" s="4"/>
    </row>
    <row r="39" spans="1:12" x14ac:dyDescent="0.25">
      <c r="A39" s="8"/>
      <c r="B39" s="8"/>
      <c r="C39" s="50"/>
      <c r="D39" s="8"/>
      <c r="E39" s="8"/>
      <c r="F39" s="8"/>
      <c r="G39" s="8"/>
      <c r="H39" s="8"/>
      <c r="I39" s="4"/>
      <c r="J39" s="4"/>
      <c r="K39" s="4"/>
      <c r="L39" s="4"/>
    </row>
    <row r="40" spans="1:12" x14ac:dyDescent="0.25">
      <c r="A40" s="8"/>
      <c r="B40" s="8"/>
      <c r="C40" s="50" t="s">
        <v>131</v>
      </c>
      <c r="D40" s="8"/>
      <c r="E40" s="47"/>
      <c r="F40" s="8"/>
      <c r="G40" s="8"/>
      <c r="H40" s="8"/>
      <c r="I40" s="4"/>
      <c r="J40" s="4"/>
      <c r="K40" s="4"/>
      <c r="L40" s="4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4"/>
      <c r="J41" s="4"/>
      <c r="K41" s="4"/>
      <c r="L41" s="4"/>
    </row>
    <row r="43" spans="1:12" x14ac:dyDescent="0.25">
      <c r="A43" s="5" t="s">
        <v>2</v>
      </c>
      <c r="B43" s="8" t="s">
        <v>132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5">
      <c r="A45" s="6" t="s">
        <v>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7" spans="1:12" x14ac:dyDescent="0.25">
      <c r="A47" s="1" t="s">
        <v>359</v>
      </c>
      <c r="E47" s="147"/>
    </row>
    <row r="48" spans="1:12" x14ac:dyDescent="0.25">
      <c r="B48" s="6" t="s">
        <v>360</v>
      </c>
      <c r="C48" s="6"/>
      <c r="D48" s="6"/>
      <c r="E48" s="6">
        <v>45</v>
      </c>
      <c r="F48" s="6"/>
    </row>
    <row r="49" spans="1:6" x14ac:dyDescent="0.25">
      <c r="B49" s="6" t="s">
        <v>361</v>
      </c>
      <c r="C49" s="6"/>
      <c r="D49" s="6"/>
      <c r="E49" s="6">
        <f>E48-3</f>
        <v>42</v>
      </c>
      <c r="F49" s="111" t="s">
        <v>364</v>
      </c>
    </row>
    <row r="50" spans="1:6" x14ac:dyDescent="0.25">
      <c r="B50" s="1" t="s">
        <v>362</v>
      </c>
      <c r="E50" s="1">
        <f>0.6*E49+0.4*E48</f>
        <v>43.2</v>
      </c>
    </row>
    <row r="51" spans="1:6" x14ac:dyDescent="0.25">
      <c r="A51" s="1" t="s">
        <v>363</v>
      </c>
      <c r="E51" s="1">
        <f>E50/6</f>
        <v>7.2</v>
      </c>
    </row>
    <row r="52" spans="1:6" x14ac:dyDescent="0.25">
      <c r="A52" s="1" t="s">
        <v>365</v>
      </c>
      <c r="E52" s="148">
        <f>EXP(0.045*E51)*EXP(-0.007*E51)</f>
        <v>1.3146888215209858</v>
      </c>
    </row>
  </sheetData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2291" r:id="rId4">
          <objectPr defaultSize="0" autoPict="0" r:id="rId5">
            <anchor moveWithCells="1" sizeWithCells="1">
              <from>
                <xdr:col>3</xdr:col>
                <xdr:colOff>666750</xdr:colOff>
                <xdr:row>36</xdr:row>
                <xdr:rowOff>171450</xdr:rowOff>
              </from>
              <to>
                <xdr:col>5</xdr:col>
                <xdr:colOff>381000</xdr:colOff>
                <xdr:row>38</xdr:row>
                <xdr:rowOff>47625</xdr:rowOff>
              </to>
            </anchor>
          </objectPr>
        </oleObject>
      </mc:Choice>
      <mc:Fallback>
        <oleObject progId="Equation.DSMT4" shapeId="12291" r:id="rId4"/>
      </mc:Fallback>
    </mc:AlternateContent>
    <mc:AlternateContent xmlns:mc="http://schemas.openxmlformats.org/markup-compatibility/2006">
      <mc:Choice Requires="x14">
        <oleObject progId="Equation.DSMT4" shapeId="12292" r:id="rId6">
          <objectPr defaultSize="0" autoPict="0" r:id="rId7">
            <anchor moveWithCells="1" sizeWithCells="1">
              <from>
                <xdr:col>3</xdr:col>
                <xdr:colOff>628650</xdr:colOff>
                <xdr:row>38</xdr:row>
                <xdr:rowOff>171450</xdr:rowOff>
              </from>
              <to>
                <xdr:col>5</xdr:col>
                <xdr:colOff>342900</xdr:colOff>
                <xdr:row>40</xdr:row>
                <xdr:rowOff>47625</xdr:rowOff>
              </to>
            </anchor>
          </objectPr>
        </oleObject>
      </mc:Choice>
      <mc:Fallback>
        <oleObject progId="Equation.DSMT4" shapeId="12292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A5A8-3601-4759-A61B-4773DF2756BB}">
  <dimension ref="A1:R116"/>
  <sheetViews>
    <sheetView zoomScale="120" zoomScaleNormal="120" workbookViewId="0"/>
  </sheetViews>
  <sheetFormatPr defaultColWidth="8.85546875" defaultRowHeight="15.75" x14ac:dyDescent="0.25"/>
  <cols>
    <col min="1" max="2" width="17.28515625" style="1" customWidth="1"/>
    <col min="3" max="5" width="14.7109375" style="1" customWidth="1"/>
    <col min="6" max="6" width="15.28515625" style="1" customWidth="1"/>
    <col min="7" max="9" width="12.7109375" style="1" customWidth="1"/>
    <col min="10" max="16384" width="8.85546875" style="1"/>
  </cols>
  <sheetData>
    <row r="1" spans="1:18" ht="18.75" x14ac:dyDescent="0.3">
      <c r="A1" s="2" t="s">
        <v>133</v>
      </c>
      <c r="B1" s="4"/>
      <c r="C1" s="8" t="s">
        <v>134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8" x14ac:dyDescent="0.25">
      <c r="A4" s="5" t="s">
        <v>4</v>
      </c>
      <c r="B4" s="8" t="s">
        <v>136</v>
      </c>
      <c r="C4" s="4"/>
      <c r="D4" s="4"/>
      <c r="E4" s="4"/>
      <c r="F4" s="4"/>
      <c r="G4" s="4"/>
      <c r="H4" s="4"/>
      <c r="I4" s="4"/>
      <c r="J4" s="4"/>
      <c r="K4" s="4"/>
      <c r="L4" s="4"/>
      <c r="M4" s="7"/>
      <c r="N4" s="7"/>
      <c r="O4" s="7"/>
      <c r="P4" s="7"/>
      <c r="Q4" s="7"/>
      <c r="R4" s="7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8" x14ac:dyDescent="0.25">
      <c r="A6" s="6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25">
      <c r="A8" s="6" t="s">
        <v>366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10" spans="1:18" x14ac:dyDescent="0.25">
      <c r="A10" s="5" t="s">
        <v>5</v>
      </c>
      <c r="B10" s="8" t="s">
        <v>135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8" x14ac:dyDescent="0.25">
      <c r="A12" s="6" t="s">
        <v>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8" x14ac:dyDescent="0.25">
      <c r="A14" s="6" t="s">
        <v>367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6" spans="1:18" x14ac:dyDescent="0.25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</row>
    <row r="17" spans="1:12" x14ac:dyDescent="0.25">
      <c r="A17" s="8" t="s">
        <v>137</v>
      </c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</row>
    <row r="19" spans="1:12" x14ac:dyDescent="0.25">
      <c r="A19" s="5" t="s">
        <v>0</v>
      </c>
      <c r="B19" s="8" t="s">
        <v>138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 t="s">
        <v>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 t="s">
        <v>368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 t="s">
        <v>369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7" spans="1:12" x14ac:dyDescent="0.25">
      <c r="A27" s="27"/>
      <c r="B27" s="27"/>
      <c r="C27" s="27"/>
      <c r="D27" s="27"/>
      <c r="E27" s="27"/>
      <c r="F27" s="27"/>
      <c r="G27" s="8"/>
      <c r="H27" s="8"/>
      <c r="I27" s="8"/>
      <c r="J27" s="8"/>
      <c r="K27" s="8"/>
      <c r="L27" s="8"/>
    </row>
    <row r="28" spans="1:12" x14ac:dyDescent="0.25">
      <c r="A28" s="44" t="s">
        <v>139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54" t="s">
        <v>140</v>
      </c>
      <c r="C30" s="54" t="s">
        <v>141</v>
      </c>
      <c r="D30" s="54" t="s">
        <v>141</v>
      </c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55" t="s">
        <v>14</v>
      </c>
      <c r="C31" s="55" t="s">
        <v>142</v>
      </c>
      <c r="D31" s="55" t="s">
        <v>143</v>
      </c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53">
        <v>2021</v>
      </c>
      <c r="C32" s="29">
        <v>30400000</v>
      </c>
      <c r="D32" s="29">
        <v>1489600</v>
      </c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28">
        <v>2022</v>
      </c>
      <c r="C33" s="29">
        <v>31698113</v>
      </c>
      <c r="D33" s="29">
        <v>1680000</v>
      </c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28">
        <v>2023</v>
      </c>
      <c r="C34" s="29">
        <v>28000000</v>
      </c>
      <c r="D34" s="29">
        <v>1596000</v>
      </c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54"/>
      <c r="C36" s="54" t="s">
        <v>147</v>
      </c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55"/>
      <c r="C37" s="55" t="s">
        <v>148</v>
      </c>
      <c r="D37" s="27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52" t="s">
        <v>144</v>
      </c>
      <c r="C38" s="29">
        <v>19507585</v>
      </c>
      <c r="D38" s="27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52" t="s">
        <v>145</v>
      </c>
      <c r="C39" s="29">
        <v>7861668</v>
      </c>
      <c r="D39" s="27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52" t="s">
        <v>146</v>
      </c>
      <c r="C40" s="29">
        <v>4812040</v>
      </c>
      <c r="D40" s="27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35" t="s">
        <v>164</v>
      </c>
      <c r="C42" s="36">
        <v>0.25</v>
      </c>
      <c r="D42" s="38" t="s">
        <v>165</v>
      </c>
      <c r="E42" s="27"/>
      <c r="F42" s="8"/>
      <c r="G42" s="8"/>
      <c r="H42" s="8"/>
      <c r="I42" s="36">
        <v>0.75</v>
      </c>
      <c r="J42" s="38" t="s">
        <v>166</v>
      </c>
      <c r="K42" s="8"/>
      <c r="L42" s="8"/>
    </row>
    <row r="43" spans="1:12" x14ac:dyDescent="0.25">
      <c r="A43" s="8"/>
      <c r="B43" s="38" t="s">
        <v>167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5" spans="1:12" x14ac:dyDescent="0.25">
      <c r="A45" s="5" t="s">
        <v>2</v>
      </c>
      <c r="B45" s="8" t="s">
        <v>149</v>
      </c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5">
      <c r="A47" s="6" t="s">
        <v>1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5" x14ac:dyDescent="0.25">
      <c r="A49" s="79"/>
      <c r="B49" s="79"/>
      <c r="C49" s="79"/>
      <c r="D49" s="79" t="s">
        <v>375</v>
      </c>
    </row>
    <row r="50" spans="1:5" x14ac:dyDescent="0.25">
      <c r="A50" s="79" t="s">
        <v>140</v>
      </c>
      <c r="B50" s="79" t="s">
        <v>141</v>
      </c>
      <c r="C50" s="79" t="s">
        <v>141</v>
      </c>
      <c r="D50" s="79" t="s">
        <v>143</v>
      </c>
    </row>
    <row r="51" spans="1:5" x14ac:dyDescent="0.25">
      <c r="A51" s="80" t="s">
        <v>14</v>
      </c>
      <c r="B51" s="80" t="s">
        <v>142</v>
      </c>
      <c r="C51" s="80" t="s">
        <v>143</v>
      </c>
      <c r="D51" s="80" t="s">
        <v>370</v>
      </c>
    </row>
    <row r="52" spans="1:5" x14ac:dyDescent="0.25">
      <c r="A52" s="79">
        <v>2021</v>
      </c>
      <c r="B52" s="163">
        <f>C32</f>
        <v>30400000</v>
      </c>
      <c r="C52" s="163">
        <f t="shared" ref="C52:C54" si="0">D32</f>
        <v>1489600</v>
      </c>
      <c r="D52" s="157">
        <f>C52/B52</f>
        <v>4.9000000000000002E-2</v>
      </c>
    </row>
    <row r="53" spans="1:5" x14ac:dyDescent="0.25">
      <c r="A53" s="79">
        <v>2022</v>
      </c>
      <c r="B53" s="163">
        <f t="shared" ref="B53" si="1">C33</f>
        <v>31698113</v>
      </c>
      <c r="C53" s="163">
        <f t="shared" si="0"/>
        <v>1680000</v>
      </c>
      <c r="D53" s="157">
        <f t="shared" ref="D53:D55" si="2">C53/B53</f>
        <v>5.3000000347023811E-2</v>
      </c>
    </row>
    <row r="54" spans="1:5" x14ac:dyDescent="0.25">
      <c r="A54" s="80">
        <v>2023</v>
      </c>
      <c r="B54" s="164">
        <f t="shared" ref="B54" si="3">C34</f>
        <v>28000000</v>
      </c>
      <c r="C54" s="164">
        <f t="shared" si="0"/>
        <v>1596000</v>
      </c>
      <c r="D54" s="157">
        <f t="shared" si="2"/>
        <v>5.7000000000000002E-2</v>
      </c>
    </row>
    <row r="55" spans="1:5" x14ac:dyDescent="0.25">
      <c r="A55" s="79"/>
      <c r="B55" s="156">
        <v>90098113.207547173</v>
      </c>
      <c r="C55" s="156">
        <v>4765600</v>
      </c>
      <c r="D55" s="158">
        <f t="shared" si="2"/>
        <v>5.2893449489026634E-2</v>
      </c>
    </row>
    <row r="56" spans="1:5" x14ac:dyDescent="0.25">
      <c r="A56" s="96"/>
      <c r="E56"/>
    </row>
    <row r="57" spans="1:5" x14ac:dyDescent="0.25">
      <c r="A57" s="96"/>
      <c r="C57" s="96" t="s">
        <v>249</v>
      </c>
      <c r="D57" s="157">
        <f>AVERAGE(D53:D54)</f>
        <v>5.5000000173511907E-2</v>
      </c>
      <c r="E57"/>
    </row>
    <row r="58" spans="1:5" x14ac:dyDescent="0.25">
      <c r="A58" s="6"/>
      <c r="B58" s="6"/>
      <c r="C58" s="6"/>
      <c r="D58" s="154"/>
    </row>
    <row r="59" spans="1:5" x14ac:dyDescent="0.25">
      <c r="A59" s="6"/>
      <c r="B59" s="79" t="s">
        <v>147</v>
      </c>
      <c r="C59" s="79" t="s">
        <v>371</v>
      </c>
      <c r="D59" s="79" t="s">
        <v>372</v>
      </c>
    </row>
    <row r="60" spans="1:5" x14ac:dyDescent="0.25">
      <c r="A60" s="155"/>
      <c r="B60" s="162" t="s">
        <v>148</v>
      </c>
      <c r="C60" s="80" t="s">
        <v>373</v>
      </c>
      <c r="D60" s="80" t="s">
        <v>143</v>
      </c>
    </row>
    <row r="61" spans="1:5" x14ac:dyDescent="0.25">
      <c r="A61" s="105" t="s">
        <v>374</v>
      </c>
      <c r="B61" s="163">
        <f>C38</f>
        <v>19507585</v>
      </c>
      <c r="C61" s="160">
        <f>I42</f>
        <v>0.75</v>
      </c>
      <c r="D61" s="163">
        <f>B61*C61*$D$57</f>
        <v>804687.8837885987</v>
      </c>
    </row>
    <row r="62" spans="1:5" x14ac:dyDescent="0.25">
      <c r="A62" s="105" t="s">
        <v>145</v>
      </c>
      <c r="B62" s="163">
        <f t="shared" ref="B62:B63" si="4">C39</f>
        <v>7861668</v>
      </c>
      <c r="C62" s="161">
        <f>C61</f>
        <v>0.75</v>
      </c>
      <c r="D62" s="163">
        <f t="shared" ref="D62:D63" si="5">B62*C62*$D$57</f>
        <v>324293.80602306977</v>
      </c>
    </row>
    <row r="63" spans="1:5" x14ac:dyDescent="0.25">
      <c r="A63" s="159" t="s">
        <v>146</v>
      </c>
      <c r="B63" s="164">
        <f t="shared" si="4"/>
        <v>4812040</v>
      </c>
      <c r="C63" s="161">
        <v>1</v>
      </c>
      <c r="D63" s="164">
        <f t="shared" si="5"/>
        <v>264662.20083494624</v>
      </c>
    </row>
    <row r="64" spans="1:5" x14ac:dyDescent="0.25">
      <c r="A64" s="105"/>
      <c r="B64" s="156">
        <v>41919318</v>
      </c>
      <c r="C64" s="152"/>
      <c r="D64" s="156">
        <f>SUM(D61:D63)</f>
        <v>1393643.8906466146</v>
      </c>
    </row>
    <row r="66" spans="1:12" x14ac:dyDescent="0.25">
      <c r="A66" s="3"/>
      <c r="B66" s="3"/>
      <c r="C66" s="3"/>
      <c r="D66" s="3"/>
      <c r="E66" s="3"/>
      <c r="F66" s="3"/>
      <c r="G66" s="4"/>
      <c r="H66" s="4"/>
      <c r="I66" s="4"/>
      <c r="J66" s="4"/>
      <c r="K66" s="4"/>
      <c r="L66" s="4"/>
    </row>
    <row r="67" spans="1:12" x14ac:dyDescent="0.25">
      <c r="A67" s="44" t="s">
        <v>150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8"/>
      <c r="B69" s="57"/>
      <c r="C69" s="265" t="s">
        <v>151</v>
      </c>
      <c r="D69" s="265"/>
      <c r="E69" s="265"/>
      <c r="F69" s="8"/>
      <c r="G69" s="8"/>
      <c r="H69" s="8"/>
      <c r="I69" s="8"/>
      <c r="J69" s="8"/>
      <c r="K69" s="8"/>
      <c r="L69" s="8"/>
    </row>
    <row r="70" spans="1:12" ht="31.5" x14ac:dyDescent="0.25">
      <c r="A70" s="8"/>
      <c r="B70" s="58" t="s">
        <v>69</v>
      </c>
      <c r="C70" s="33" t="s">
        <v>152</v>
      </c>
      <c r="D70" s="33" t="s">
        <v>153</v>
      </c>
      <c r="E70" s="33" t="s">
        <v>154</v>
      </c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28">
        <v>2021</v>
      </c>
      <c r="C71" s="29">
        <v>2325</v>
      </c>
      <c r="D71" s="29">
        <v>1336</v>
      </c>
      <c r="E71" s="29">
        <v>2370</v>
      </c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28">
        <v>2022</v>
      </c>
      <c r="C72" s="29">
        <v>2550</v>
      </c>
      <c r="D72" s="29">
        <v>1391</v>
      </c>
      <c r="E72" s="29">
        <v>2495</v>
      </c>
      <c r="F72" s="8"/>
      <c r="G72" s="8"/>
      <c r="H72" s="8"/>
      <c r="I72" s="8"/>
      <c r="J72" s="8"/>
      <c r="K72" s="8"/>
      <c r="L72" s="8"/>
    </row>
    <row r="73" spans="1:12" x14ac:dyDescent="0.25">
      <c r="A73" s="8"/>
      <c r="B73" s="28">
        <v>2023</v>
      </c>
      <c r="C73" s="29">
        <v>2528</v>
      </c>
      <c r="D73" s="29">
        <v>1402</v>
      </c>
      <c r="E73" s="29">
        <v>2517</v>
      </c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8"/>
      <c r="B75" s="57"/>
      <c r="C75" s="266" t="s">
        <v>155</v>
      </c>
      <c r="D75" s="265"/>
      <c r="E75" s="265"/>
      <c r="F75" s="8"/>
      <c r="G75" s="8"/>
      <c r="H75" s="8"/>
      <c r="I75" s="8"/>
      <c r="J75" s="8"/>
      <c r="K75" s="8"/>
      <c r="L75" s="8"/>
    </row>
    <row r="76" spans="1:12" ht="31.5" x14ac:dyDescent="0.25">
      <c r="A76" s="8"/>
      <c r="B76" s="58" t="s">
        <v>69</v>
      </c>
      <c r="C76" s="59" t="s">
        <v>152</v>
      </c>
      <c r="D76" s="33" t="s">
        <v>153</v>
      </c>
      <c r="E76" s="33" t="s">
        <v>154</v>
      </c>
      <c r="F76" s="8"/>
      <c r="G76" s="8"/>
      <c r="H76" s="8"/>
      <c r="I76" s="8"/>
      <c r="J76" s="8"/>
      <c r="K76" s="8"/>
      <c r="L76" s="8"/>
    </row>
    <row r="77" spans="1:12" x14ac:dyDescent="0.25">
      <c r="A77" s="8"/>
      <c r="B77" s="53">
        <v>2024</v>
      </c>
      <c r="C77" s="29">
        <v>1067</v>
      </c>
      <c r="D77" s="29">
        <v>1044</v>
      </c>
      <c r="E77" s="29">
        <v>1425</v>
      </c>
      <c r="F77" s="8"/>
      <c r="G77" s="8"/>
      <c r="H77" s="8"/>
      <c r="I77" s="8"/>
      <c r="J77" s="8"/>
      <c r="K77" s="8"/>
      <c r="L77" s="8"/>
    </row>
    <row r="78" spans="1:12" x14ac:dyDescent="0.25">
      <c r="A78" s="8"/>
      <c r="B78" s="28">
        <v>2025</v>
      </c>
      <c r="C78" s="28">
        <v>122</v>
      </c>
      <c r="D78" s="28">
        <v>323</v>
      </c>
      <c r="E78" s="28">
        <v>843</v>
      </c>
      <c r="F78" s="8"/>
      <c r="G78" s="8"/>
      <c r="H78" s="8"/>
      <c r="I78" s="8"/>
      <c r="J78" s="8"/>
      <c r="K78" s="8"/>
      <c r="L78" s="8"/>
    </row>
    <row r="79" spans="1:12" x14ac:dyDescent="0.25">
      <c r="A79" s="8"/>
      <c r="B79" s="28">
        <v>2026</v>
      </c>
      <c r="C79" s="167">
        <v>0</v>
      </c>
      <c r="D79" s="167">
        <v>0</v>
      </c>
      <c r="E79" s="28">
        <v>323</v>
      </c>
      <c r="F79" s="8"/>
      <c r="G79" s="8"/>
      <c r="H79" s="8"/>
      <c r="I79" s="8"/>
      <c r="J79" s="8"/>
      <c r="K79" s="8"/>
      <c r="L79" s="8"/>
    </row>
    <row r="80" spans="1:1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31.5" x14ac:dyDescent="0.25">
      <c r="A81" s="8"/>
      <c r="B81" s="268"/>
      <c r="C81" s="268"/>
      <c r="D81" s="20" t="s">
        <v>156</v>
      </c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/>
      <c r="B82" s="267" t="s">
        <v>157</v>
      </c>
      <c r="C82" s="267"/>
      <c r="D82" s="56">
        <v>0.3</v>
      </c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8"/>
      <c r="B83" s="267" t="s">
        <v>158</v>
      </c>
      <c r="C83" s="267"/>
      <c r="D83" s="56">
        <v>0.5</v>
      </c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267" t="s">
        <v>159</v>
      </c>
      <c r="C84" s="267"/>
      <c r="D84" s="56">
        <v>0.2</v>
      </c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8"/>
      <c r="B86" s="35" t="s">
        <v>160</v>
      </c>
      <c r="C86" s="8"/>
      <c r="D86" s="8"/>
      <c r="E86" s="8"/>
      <c r="F86" s="36">
        <v>0</v>
      </c>
      <c r="G86" s="8"/>
      <c r="H86" s="8"/>
      <c r="I86" s="8"/>
      <c r="J86" s="8"/>
      <c r="K86" s="8"/>
      <c r="L86" s="8"/>
    </row>
    <row r="87" spans="1:12" x14ac:dyDescent="0.25">
      <c r="A87" s="8"/>
      <c r="B87" s="35" t="s">
        <v>161</v>
      </c>
      <c r="C87" s="8"/>
      <c r="D87" s="8"/>
      <c r="E87" s="8"/>
      <c r="F87" s="36">
        <v>0.02</v>
      </c>
      <c r="G87" s="8"/>
      <c r="H87" s="8"/>
      <c r="I87" s="8"/>
      <c r="J87" s="8"/>
      <c r="K87" s="8"/>
      <c r="L87" s="8"/>
    </row>
    <row r="89" spans="1:12" x14ac:dyDescent="0.25">
      <c r="A89" s="5" t="s">
        <v>3</v>
      </c>
      <c r="B89" s="261" t="s">
        <v>162</v>
      </c>
      <c r="C89" s="261"/>
      <c r="D89" s="261"/>
      <c r="E89" s="261"/>
      <c r="F89" s="261"/>
      <c r="G89" s="261"/>
      <c r="H89" s="261"/>
      <c r="I89" s="261"/>
      <c r="J89" s="261"/>
      <c r="K89" s="261"/>
      <c r="L89" s="4"/>
    </row>
    <row r="90" spans="1:12" x14ac:dyDescent="0.25">
      <c r="A90" s="3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4"/>
    </row>
    <row r="91" spans="1:1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6" t="s">
        <v>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31.5" x14ac:dyDescent="0.25">
      <c r="A94" s="93" t="s">
        <v>69</v>
      </c>
      <c r="B94" s="93" t="s">
        <v>377</v>
      </c>
      <c r="C94"/>
      <c r="D94"/>
      <c r="E94" s="151"/>
      <c r="G94" s="6"/>
      <c r="H94" s="6"/>
      <c r="I94" s="6"/>
      <c r="J94" s="6"/>
      <c r="K94" s="6"/>
      <c r="L94" s="6"/>
    </row>
    <row r="95" spans="1:12" x14ac:dyDescent="0.25">
      <c r="A95" s="79">
        <v>2024</v>
      </c>
      <c r="B95" s="163">
        <f>D73+C77-E77</f>
        <v>1044</v>
      </c>
      <c r="C95"/>
      <c r="D95"/>
      <c r="E95" s="165"/>
      <c r="G95" s="6"/>
      <c r="H95" s="6"/>
      <c r="I95" s="6"/>
      <c r="J95" s="6"/>
      <c r="K95" s="6"/>
      <c r="L95" s="6"/>
    </row>
    <row r="96" spans="1:12" x14ac:dyDescent="0.25">
      <c r="A96" s="79">
        <v>2025</v>
      </c>
      <c r="B96" s="163">
        <f>B95+C78-E78</f>
        <v>323</v>
      </c>
      <c r="C96"/>
      <c r="D96"/>
      <c r="E96" s="165"/>
      <c r="G96" s="6"/>
      <c r="H96" s="6"/>
      <c r="I96" s="6"/>
      <c r="J96" s="6"/>
      <c r="K96" s="6"/>
      <c r="L96" s="6"/>
    </row>
    <row r="97" spans="1:12" x14ac:dyDescent="0.25">
      <c r="A97" s="79">
        <v>2026</v>
      </c>
      <c r="B97" s="163">
        <f>B96+C79-E79</f>
        <v>0</v>
      </c>
      <c r="C97"/>
      <c r="D97"/>
      <c r="E97" s="165"/>
      <c r="G97" s="6"/>
      <c r="H97" s="6"/>
      <c r="I97" s="6"/>
      <c r="J97" s="6"/>
      <c r="K97" s="6"/>
      <c r="L97" s="6"/>
    </row>
    <row r="99" spans="1:12" x14ac:dyDescent="0.25">
      <c r="A99" s="5" t="s">
        <v>6</v>
      </c>
      <c r="B99" s="8" t="s">
        <v>163</v>
      </c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6" t="s">
        <v>1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5">
      <c r="A102" s="149"/>
      <c r="B102" s="176"/>
      <c r="C102" s="257" t="s">
        <v>219</v>
      </c>
      <c r="D102" s="257"/>
      <c r="E102" s="257"/>
      <c r="F102" s="257"/>
      <c r="G102" s="256" t="s">
        <v>378</v>
      </c>
      <c r="H102" s="256"/>
      <c r="I102" s="256"/>
    </row>
    <row r="103" spans="1:12" ht="31.5" x14ac:dyDescent="0.25">
      <c r="A103" s="93" t="s">
        <v>69</v>
      </c>
      <c r="B103" s="93" t="s">
        <v>376</v>
      </c>
      <c r="C103" s="93" t="s">
        <v>152</v>
      </c>
      <c r="D103" s="93" t="s">
        <v>153</v>
      </c>
      <c r="E103" s="93" t="s">
        <v>154</v>
      </c>
      <c r="F103" s="93" t="s">
        <v>384</v>
      </c>
      <c r="G103" s="257"/>
      <c r="H103" s="256"/>
      <c r="I103" s="256"/>
    </row>
    <row r="104" spans="1:12" x14ac:dyDescent="0.25">
      <c r="A104" s="168" t="s">
        <v>379</v>
      </c>
      <c r="B104" s="168"/>
      <c r="C104" s="169">
        <f>D82</f>
        <v>0.3</v>
      </c>
      <c r="D104" s="169">
        <f>D83</f>
        <v>0.5</v>
      </c>
      <c r="E104" s="169">
        <f>D84</f>
        <v>0.2</v>
      </c>
      <c r="F104" s="168"/>
      <c r="G104" s="168"/>
      <c r="H104" s="168"/>
      <c r="I104" s="168"/>
    </row>
    <row r="105" spans="1:12" x14ac:dyDescent="0.25">
      <c r="A105" s="79">
        <v>2021</v>
      </c>
      <c r="B105" s="166">
        <f>D32</f>
        <v>1489600</v>
      </c>
      <c r="C105" s="166">
        <f>C71</f>
        <v>2325</v>
      </c>
      <c r="D105" s="166">
        <f t="shared" ref="D105:E105" si="6">D71</f>
        <v>1336</v>
      </c>
      <c r="E105" s="166">
        <f t="shared" si="6"/>
        <v>2370</v>
      </c>
      <c r="F105" s="166">
        <f>SUMPRODUCT($C$104:$E$104,C105:E105)</f>
        <v>1839.5</v>
      </c>
      <c r="G105" s="166">
        <f>B105/F105</f>
        <v>809.78526773579779</v>
      </c>
      <c r="H105" s="170"/>
      <c r="I105" s="171"/>
    </row>
    <row r="106" spans="1:12" x14ac:dyDescent="0.25">
      <c r="A106" s="79">
        <v>2022</v>
      </c>
      <c r="B106" s="166">
        <f t="shared" ref="B106:B107" si="7">D33</f>
        <v>1680000</v>
      </c>
      <c r="C106" s="166">
        <f t="shared" ref="C106:E106" si="8">C72</f>
        <v>2550</v>
      </c>
      <c r="D106" s="166">
        <f t="shared" si="8"/>
        <v>1391</v>
      </c>
      <c r="E106" s="166">
        <f t="shared" si="8"/>
        <v>2495</v>
      </c>
      <c r="F106" s="166">
        <f t="shared" ref="F106:F107" si="9">SUMPRODUCT($C$104:$E$104,C106:E106)</f>
        <v>1959.5</v>
      </c>
      <c r="G106" s="166">
        <f t="shared" ref="G106:G107" si="10">B106/F106</f>
        <v>857.36157182954832</v>
      </c>
      <c r="H106" s="170"/>
      <c r="I106" s="171"/>
    </row>
    <row r="107" spans="1:12" x14ac:dyDescent="0.25">
      <c r="A107" s="79">
        <v>2023</v>
      </c>
      <c r="B107" s="166">
        <f t="shared" si="7"/>
        <v>1596000</v>
      </c>
      <c r="C107" s="166">
        <f t="shared" ref="C107:E107" si="11">C73</f>
        <v>2528</v>
      </c>
      <c r="D107" s="166">
        <f t="shared" si="11"/>
        <v>1402</v>
      </c>
      <c r="E107" s="166">
        <f t="shared" si="11"/>
        <v>2517</v>
      </c>
      <c r="F107" s="166">
        <f t="shared" si="9"/>
        <v>1962.8000000000002</v>
      </c>
      <c r="G107" s="166">
        <f t="shared" si="10"/>
        <v>813.12410841654776</v>
      </c>
      <c r="H107" s="170"/>
      <c r="I107" s="171"/>
    </row>
    <row r="108" spans="1:12" x14ac:dyDescent="0.25">
      <c r="A108" s="6"/>
      <c r="B108" s="153"/>
      <c r="C108" s="153"/>
      <c r="D108" s="153"/>
      <c r="E108" s="153"/>
      <c r="F108" s="153"/>
      <c r="G108" s="153"/>
      <c r="H108" s="153"/>
      <c r="I108" s="153"/>
    </row>
    <row r="109" spans="1:12" x14ac:dyDescent="0.25">
      <c r="A109" s="6"/>
      <c r="B109" s="153"/>
      <c r="C109" s="153"/>
      <c r="D109" s="153"/>
      <c r="E109" s="153"/>
      <c r="F109" s="174" t="s">
        <v>380</v>
      </c>
      <c r="G109" s="166">
        <f>AVERAGE(G105:G107)</f>
        <v>826.75698266063125</v>
      </c>
      <c r="I109" s="173"/>
    </row>
    <row r="110" spans="1:12" x14ac:dyDescent="0.25">
      <c r="A110" s="6"/>
      <c r="B110" s="153"/>
      <c r="C110" s="153"/>
      <c r="D110" s="153"/>
      <c r="E110" s="153"/>
      <c r="F110" s="174"/>
      <c r="G110" s="166"/>
      <c r="I110" s="173"/>
    </row>
    <row r="111" spans="1:12" x14ac:dyDescent="0.25">
      <c r="A111" s="149"/>
      <c r="B111" s="257" t="s">
        <v>219</v>
      </c>
      <c r="C111" s="257"/>
      <c r="D111" s="257"/>
      <c r="E111" s="257"/>
      <c r="F111" s="256" t="s">
        <v>381</v>
      </c>
      <c r="G111" s="256" t="s">
        <v>385</v>
      </c>
      <c r="H111" s="256" t="s">
        <v>382</v>
      </c>
      <c r="I111" s="256" t="s">
        <v>383</v>
      </c>
    </row>
    <row r="112" spans="1:12" x14ac:dyDescent="0.25">
      <c r="A112" s="93" t="s">
        <v>69</v>
      </c>
      <c r="B112" s="93" t="s">
        <v>152</v>
      </c>
      <c r="C112" s="93" t="s">
        <v>153</v>
      </c>
      <c r="D112" s="93" t="s">
        <v>154</v>
      </c>
      <c r="E112" s="93" t="s">
        <v>384</v>
      </c>
      <c r="F112" s="257"/>
      <c r="G112" s="257"/>
      <c r="H112" s="257"/>
      <c r="I112" s="257"/>
    </row>
    <row r="113" spans="1:9" x14ac:dyDescent="0.25">
      <c r="A113" s="79">
        <f>A107+1</f>
        <v>2024</v>
      </c>
      <c r="B113" s="166">
        <f>C77</f>
        <v>1067</v>
      </c>
      <c r="C113" s="166">
        <f t="shared" ref="C113:D113" si="12">D77</f>
        <v>1044</v>
      </c>
      <c r="D113" s="166">
        <f t="shared" si="12"/>
        <v>1425</v>
      </c>
      <c r="E113" s="166">
        <f>SUMPRODUCT(B113:D113,$C$104:$E$104)</f>
        <v>1127.0999999999999</v>
      </c>
      <c r="F113" s="166">
        <v>1</v>
      </c>
      <c r="G113" s="175">
        <f>(1+$F$87)^F113</f>
        <v>1.02</v>
      </c>
      <c r="H113" s="166">
        <f>$G$109*G113</f>
        <v>843.29212231384395</v>
      </c>
      <c r="I113" s="166">
        <f>E113*H113</f>
        <v>950474.55105993338</v>
      </c>
    </row>
    <row r="114" spans="1:9" x14ac:dyDescent="0.25">
      <c r="A114" s="79">
        <f>A113+1</f>
        <v>2025</v>
      </c>
      <c r="B114" s="166">
        <f t="shared" ref="B114:D114" si="13">C78</f>
        <v>122</v>
      </c>
      <c r="C114" s="166">
        <f t="shared" si="13"/>
        <v>323</v>
      </c>
      <c r="D114" s="166">
        <f t="shared" si="13"/>
        <v>843</v>
      </c>
      <c r="E114" s="166">
        <f t="shared" ref="E114:E115" si="14">SUMPRODUCT(B114:D114,$C$104:$E$104)</f>
        <v>366.70000000000005</v>
      </c>
      <c r="F114" s="166">
        <v>2</v>
      </c>
      <c r="G114" s="175">
        <f t="shared" ref="G114:G115" si="15">(1+$F$87)^F114</f>
        <v>1.0404</v>
      </c>
      <c r="H114" s="166">
        <f t="shared" ref="H114:H115" si="16">$G$109*G114</f>
        <v>860.15796476012076</v>
      </c>
      <c r="I114" s="166">
        <f t="shared" ref="I114:I115" si="17">E114*H114</f>
        <v>315419.92567753635</v>
      </c>
    </row>
    <row r="115" spans="1:9" x14ac:dyDescent="0.25">
      <c r="A115" s="80">
        <f>A114+1</f>
        <v>2026</v>
      </c>
      <c r="B115" s="177">
        <f t="shared" ref="B115:D115" si="18">C79</f>
        <v>0</v>
      </c>
      <c r="C115" s="177">
        <f t="shared" si="18"/>
        <v>0</v>
      </c>
      <c r="D115" s="177">
        <f t="shared" si="18"/>
        <v>323</v>
      </c>
      <c r="E115" s="177">
        <f t="shared" si="14"/>
        <v>64.600000000000009</v>
      </c>
      <c r="F115" s="177">
        <v>3</v>
      </c>
      <c r="G115" s="178">
        <f t="shared" si="15"/>
        <v>1.0612079999999999</v>
      </c>
      <c r="H115" s="177">
        <f t="shared" si="16"/>
        <v>877.3611240553231</v>
      </c>
      <c r="I115" s="177">
        <f t="shared" si="17"/>
        <v>56677.528613973882</v>
      </c>
    </row>
    <row r="116" spans="1:9" x14ac:dyDescent="0.25">
      <c r="A116" s="79" t="s">
        <v>31</v>
      </c>
      <c r="B116" s="6"/>
      <c r="C116" s="6"/>
      <c r="D116" s="6"/>
      <c r="E116" s="172"/>
      <c r="F116" s="6"/>
      <c r="G116" s="6"/>
      <c r="H116" s="172"/>
      <c r="I116" s="166">
        <f>SUM(I113:I115)</f>
        <v>1322572.0053514435</v>
      </c>
    </row>
  </sheetData>
  <mergeCells count="16">
    <mergeCell ref="G102:G103"/>
    <mergeCell ref="H102:H103"/>
    <mergeCell ref="I102:I103"/>
    <mergeCell ref="B111:E111"/>
    <mergeCell ref="F111:F112"/>
    <mergeCell ref="G111:G112"/>
    <mergeCell ref="H111:H112"/>
    <mergeCell ref="I111:I112"/>
    <mergeCell ref="C102:F102"/>
    <mergeCell ref="B89:K90"/>
    <mergeCell ref="C69:E69"/>
    <mergeCell ref="C75:E75"/>
    <mergeCell ref="B82:C82"/>
    <mergeCell ref="B83:C83"/>
    <mergeCell ref="B84:C84"/>
    <mergeCell ref="B81:C8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Aleshia Zionce</cp:lastModifiedBy>
  <cp:lastPrinted>2018-12-31T14:01:19Z</cp:lastPrinted>
  <dcterms:created xsi:type="dcterms:W3CDTF">2016-11-07T18:30:57Z</dcterms:created>
  <dcterms:modified xsi:type="dcterms:W3CDTF">2025-01-22T16:36:56Z</dcterms:modified>
</cp:coreProperties>
</file>